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255" windowWidth="7545" windowHeight="4575" tabRatio="828" activeTab="1"/>
  </bookViews>
  <sheets>
    <sheet name="Antropometria  (3)" sheetId="27" r:id="rId1"/>
    <sheet name="Calorimetría" sheetId="4" r:id="rId2"/>
    <sheet name="Requerimiento" sheetId="8" r:id="rId3"/>
  </sheets>
  <externalReferences>
    <externalReference r:id="rId4"/>
    <externalReference r:id="rId5"/>
  </externalReferences>
  <definedNames>
    <definedName name="adiposo">'[1]Proc datos brutos'!$U$4:$AC$8</definedName>
    <definedName name="adiposo_muscular">'[1]Proc datos brutos'!$U$72:$AC$76</definedName>
    <definedName name="AF">'[1]Proc datos brutos'!$P$2:$S$7</definedName>
    <definedName name="arq">'[2]Proc datos brutos'!$AH$3:$AJ$48</definedName>
    <definedName name="defcen">'[2]Proc datos brutos'!$AK$3:$AM$48</definedName>
    <definedName name="deflat">'[2]Proc datos brutos'!$AN$3:$AP$48</definedName>
    <definedName name="delcen">'[2]Proc datos brutos'!$AZ$3:$BB$48</definedName>
    <definedName name="dellat">'[2]Proc datos brutos'!$AW$3:$AY$48</definedName>
    <definedName name="depf">'[1]Proc datos brutos'!$V$13:$Y$34</definedName>
    <definedName name="depm">'[1]Proc datos brutos'!$Z$13:$AC$44</definedName>
    <definedName name="deps">'[1]Proc datos brutos'!$AE$2:$AF$42</definedName>
    <definedName name="HTML_CodePage" hidden="1">1252</definedName>
    <definedName name="HTML_Control" hidden="1">{"'Proc datos brutos'!$A$2:$M$53"}</definedName>
    <definedName name="HTML_Description" hidden="1">""</definedName>
    <definedName name="HTML_Email" hidden="1">""</definedName>
    <definedName name="HTML_Header" hidden="1">"Proc datos brutos"</definedName>
    <definedName name="HTML_LastUpdate" hidden="1">"17/01/2000"</definedName>
    <definedName name="HTML_LineAfter" hidden="1">FALSE</definedName>
    <definedName name="HTML_LineBefore" hidden="1">FALSE</definedName>
    <definedName name="HTML_Name" hidden="1">"Francis Holway"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"proc datos brutos definitivo nuevo"</definedName>
    <definedName name="meddef">'[2]Proc datos brutos'!$AQ$3:$AS$48</definedName>
    <definedName name="medof">'[2]Proc datos brutos'!$AT$3:$AV$48</definedName>
    <definedName name="muscular">'[1]Proc datos brutos'!$U$94:$AC$98</definedName>
    <definedName name="muscular_osea">'[1]Proc datos brutos'!$U$83:$AC$87</definedName>
    <definedName name="posiciones">'[2]Proc datos brutos'!$BD$2:$BF$8</definedName>
  </definedNames>
  <calcPr calcId="144525"/>
</workbook>
</file>

<file path=xl/calcChain.xml><?xml version="1.0" encoding="utf-8"?>
<calcChain xmlns="http://schemas.openxmlformats.org/spreadsheetml/2006/main">
  <c r="C35" i="27" l="1"/>
  <c r="C45" i="27" s="1"/>
  <c r="D35" i="27"/>
  <c r="D44" i="27"/>
  <c r="E35" i="27"/>
  <c r="E45" i="27"/>
  <c r="F35" i="27"/>
  <c r="F44" i="27"/>
  <c r="G35" i="27"/>
  <c r="G45" i="27"/>
  <c r="H35" i="27"/>
  <c r="H44" i="27"/>
  <c r="I35" i="27"/>
  <c r="I45" i="27"/>
  <c r="J35" i="27"/>
  <c r="J44" i="27"/>
  <c r="K35" i="27"/>
  <c r="K45" i="27"/>
  <c r="L35" i="27"/>
  <c r="L44" i="27"/>
  <c r="B35" i="27"/>
  <c r="B45" i="27" s="1"/>
  <c r="C46" i="27"/>
  <c r="D46" i="27"/>
  <c r="E46" i="27"/>
  <c r="F46" i="27"/>
  <c r="G46" i="27"/>
  <c r="H46" i="27"/>
  <c r="I46" i="27"/>
  <c r="J46" i="27"/>
  <c r="K46" i="27"/>
  <c r="L46" i="27"/>
  <c r="B46" i="27"/>
  <c r="B48" i="27"/>
  <c r="B47" i="27" s="1"/>
  <c r="L48" i="27"/>
  <c r="L47" i="27"/>
  <c r="K48" i="27"/>
  <c r="K47" i="27"/>
  <c r="J48" i="27"/>
  <c r="J47" i="27"/>
  <c r="I48" i="27"/>
  <c r="I47" i="27"/>
  <c r="I52" i="27" s="1"/>
  <c r="H48" i="27"/>
  <c r="H47" i="27" s="1"/>
  <c r="G48" i="27"/>
  <c r="G47" i="27"/>
  <c r="F48" i="27"/>
  <c r="F47" i="27"/>
  <c r="E48" i="27"/>
  <c r="E47" i="27"/>
  <c r="D48" i="27"/>
  <c r="D47" i="27"/>
  <c r="C48" i="27"/>
  <c r="C47" i="27"/>
  <c r="L36" i="27"/>
  <c r="L37" i="27" s="1"/>
  <c r="L38" i="27" s="1"/>
  <c r="L39" i="27" s="1"/>
  <c r="K36" i="27"/>
  <c r="K37" i="27" s="1"/>
  <c r="K38" i="27" s="1"/>
  <c r="K39" i="27" s="1"/>
  <c r="J36" i="27"/>
  <c r="J37" i="27" s="1"/>
  <c r="J38" i="27" s="1"/>
  <c r="J39" i="27" s="1"/>
  <c r="I36" i="27"/>
  <c r="I37" i="27" s="1"/>
  <c r="I38" i="27" s="1"/>
  <c r="I39" i="27" s="1"/>
  <c r="H36" i="27"/>
  <c r="H37" i="27" s="1"/>
  <c r="H38" i="27" s="1"/>
  <c r="H39" i="27" s="1"/>
  <c r="G36" i="27"/>
  <c r="G37" i="27" s="1"/>
  <c r="G38" i="27" s="1"/>
  <c r="G39" i="27" s="1"/>
  <c r="F36" i="27"/>
  <c r="F37" i="27" s="1"/>
  <c r="F38" i="27" s="1"/>
  <c r="F39" i="27" s="1"/>
  <c r="E36" i="27"/>
  <c r="E37" i="27" s="1"/>
  <c r="E38" i="27" s="1"/>
  <c r="E39" i="27" s="1"/>
  <c r="D36" i="27"/>
  <c r="D37" i="27" s="1"/>
  <c r="D38" i="27" s="1"/>
  <c r="D39" i="27" s="1"/>
  <c r="C36" i="27"/>
  <c r="C37" i="27" s="1"/>
  <c r="C38" i="27" s="1"/>
  <c r="C39" i="27" s="1"/>
  <c r="B36" i="27"/>
  <c r="B37" i="27" s="1"/>
  <c r="B38" i="27" s="1"/>
  <c r="B39" i="27" s="1"/>
  <c r="L32" i="27"/>
  <c r="K32" i="27"/>
  <c r="J32" i="27"/>
  <c r="I32" i="27"/>
  <c r="H32" i="27"/>
  <c r="G32" i="27"/>
  <c r="F32" i="27"/>
  <c r="E32" i="27"/>
  <c r="D32" i="27"/>
  <c r="C32" i="27"/>
  <c r="B32" i="27"/>
  <c r="L31" i="27"/>
  <c r="K31" i="27"/>
  <c r="J31" i="27"/>
  <c r="I31" i="27"/>
  <c r="H31" i="27"/>
  <c r="G31" i="27"/>
  <c r="F31" i="27"/>
  <c r="E31" i="27"/>
  <c r="D31" i="27"/>
  <c r="C31" i="27"/>
  <c r="B31" i="27"/>
  <c r="L30" i="27"/>
  <c r="K30" i="27"/>
  <c r="J30" i="27"/>
  <c r="I30" i="27"/>
  <c r="H30" i="27"/>
  <c r="G30" i="27"/>
  <c r="F30" i="27"/>
  <c r="E30" i="27"/>
  <c r="D30" i="27"/>
  <c r="C30" i="27"/>
  <c r="B30" i="27"/>
  <c r="L29" i="27"/>
  <c r="K29" i="27"/>
  <c r="J29" i="27"/>
  <c r="I29" i="27"/>
  <c r="H29" i="27"/>
  <c r="G29" i="27"/>
  <c r="F29" i="27"/>
  <c r="E29" i="27"/>
  <c r="D29" i="27"/>
  <c r="C29" i="27"/>
  <c r="B29" i="27"/>
  <c r="L28" i="27"/>
  <c r="K28" i="27"/>
  <c r="J28" i="27"/>
  <c r="I28" i="27"/>
  <c r="H28" i="27"/>
  <c r="G28" i="27"/>
  <c r="F28" i="27"/>
  <c r="E28" i="27"/>
  <c r="D28" i="27"/>
  <c r="C28" i="27"/>
  <c r="B28" i="27"/>
  <c r="L27" i="27"/>
  <c r="L33" i="27"/>
  <c r="L40" i="27" s="1"/>
  <c r="L41" i="27" s="1"/>
  <c r="L42" i="27" s="1"/>
  <c r="K27" i="27"/>
  <c r="K33" i="27" s="1"/>
  <c r="K40" i="27" s="1"/>
  <c r="K41" i="27" s="1"/>
  <c r="K42" i="27" s="1"/>
  <c r="J27" i="27"/>
  <c r="I27" i="27"/>
  <c r="H27" i="27"/>
  <c r="H33" i="27"/>
  <c r="H40" i="27" s="1"/>
  <c r="H41" i="27" s="1"/>
  <c r="H42" i="27" s="1"/>
  <c r="G27" i="27"/>
  <c r="G33" i="27" s="1"/>
  <c r="G40" i="27" s="1"/>
  <c r="G41" i="27" s="1"/>
  <c r="G42" i="27" s="1"/>
  <c r="F27" i="27"/>
  <c r="F33" i="27"/>
  <c r="F40" i="27" s="1"/>
  <c r="F41" i="27" s="1"/>
  <c r="F42" i="27" s="1"/>
  <c r="E27" i="27"/>
  <c r="D27" i="27"/>
  <c r="D33" i="27"/>
  <c r="D40" i="27" s="1"/>
  <c r="D41" i="27" s="1"/>
  <c r="D42" i="27" s="1"/>
  <c r="C27" i="27"/>
  <c r="C33" i="27" s="1"/>
  <c r="C40" i="27" s="1"/>
  <c r="C41" i="27" s="1"/>
  <c r="C42" i="27" s="1"/>
  <c r="B27" i="27"/>
  <c r="L8" i="27"/>
  <c r="K8" i="27"/>
  <c r="J8" i="27"/>
  <c r="I8" i="27"/>
  <c r="H8" i="27"/>
  <c r="G8" i="27"/>
  <c r="F8" i="27"/>
  <c r="E8" i="27"/>
  <c r="D8" i="27"/>
  <c r="C8" i="27"/>
  <c r="B8" i="27"/>
  <c r="H12" i="4"/>
  <c r="C6" i="8"/>
  <c r="E14" i="8" s="1"/>
  <c r="B6" i="8"/>
  <c r="D14" i="8" s="1"/>
  <c r="C14" i="8"/>
  <c r="L12" i="8"/>
  <c r="L8" i="8"/>
  <c r="L9" i="8"/>
  <c r="L10" i="8"/>
  <c r="L11" i="8"/>
  <c r="L13" i="8"/>
  <c r="L14" i="8"/>
  <c r="L15" i="8"/>
  <c r="L16" i="8"/>
  <c r="L18" i="8"/>
  <c r="L19" i="8"/>
  <c r="L20" i="8"/>
  <c r="I12" i="8"/>
  <c r="I8" i="8"/>
  <c r="I9" i="8"/>
  <c r="I10" i="8"/>
  <c r="I11" i="8"/>
  <c r="I13" i="8"/>
  <c r="I14" i="8"/>
  <c r="I15" i="8"/>
  <c r="I16" i="8"/>
  <c r="I17" i="8"/>
  <c r="I18" i="8"/>
  <c r="I19" i="8"/>
  <c r="I20" i="8"/>
  <c r="I21" i="8"/>
  <c r="K12" i="8"/>
  <c r="K8" i="8"/>
  <c r="K13" i="8"/>
  <c r="K14" i="8"/>
  <c r="K15" i="8"/>
  <c r="K17" i="8"/>
  <c r="K18" i="8"/>
  <c r="K20" i="8"/>
  <c r="J12" i="8"/>
  <c r="J8" i="8"/>
  <c r="J9" i="8"/>
  <c r="J11" i="8"/>
  <c r="J13" i="8"/>
  <c r="J14" i="8"/>
  <c r="J15" i="8"/>
  <c r="J16" i="8"/>
  <c r="J18" i="8"/>
  <c r="J20" i="8"/>
  <c r="D5" i="8"/>
  <c r="D6" i="8" s="1"/>
  <c r="F14" i="8" s="1"/>
  <c r="F4" i="4"/>
  <c r="D9" i="4" s="1"/>
  <c r="C85" i="4"/>
  <c r="C83" i="4" s="1"/>
  <c r="H6" i="8"/>
  <c r="G4" i="4"/>
  <c r="E17" i="4" s="1"/>
  <c r="D91" i="4"/>
  <c r="E91" i="4"/>
  <c r="F19" i="8"/>
  <c r="E19" i="8"/>
  <c r="D19" i="8"/>
  <c r="C19" i="8"/>
  <c r="C16" i="8"/>
  <c r="D16" i="8"/>
  <c r="E16" i="8"/>
  <c r="F16" i="8"/>
  <c r="C17" i="8"/>
  <c r="D17" i="8"/>
  <c r="E17" i="8"/>
  <c r="F17" i="8"/>
  <c r="C18" i="8"/>
  <c r="D18" i="8"/>
  <c r="E18" i="8"/>
  <c r="F18" i="8"/>
  <c r="J33" i="27"/>
  <c r="J40" i="27"/>
  <c r="J41" i="27" s="1"/>
  <c r="J42" i="27" s="1"/>
  <c r="I51" i="27"/>
  <c r="E33" i="27"/>
  <c r="E40" i="27" s="1"/>
  <c r="E41" i="27" s="1"/>
  <c r="E42" i="27" s="1"/>
  <c r="I33" i="27"/>
  <c r="I40" i="27" s="1"/>
  <c r="I41" i="27" s="1"/>
  <c r="I42" i="27" s="1"/>
  <c r="E52" i="27"/>
  <c r="E51" i="27"/>
  <c r="K51" i="27"/>
  <c r="K52" i="27"/>
  <c r="G51" i="27"/>
  <c r="G52" i="27"/>
  <c r="E79" i="4"/>
  <c r="B44" i="27"/>
  <c r="K44" i="27"/>
  <c r="I44" i="27"/>
  <c r="G44" i="27"/>
  <c r="E44" i="27"/>
  <c r="C44" i="27"/>
  <c r="L45" i="27"/>
  <c r="L52" i="27"/>
  <c r="J45" i="27"/>
  <c r="J52" i="27"/>
  <c r="H45" i="27"/>
  <c r="F45" i="27"/>
  <c r="F52" i="27" s="1"/>
  <c r="D45" i="27"/>
  <c r="J51" i="27"/>
  <c r="D52" i="27"/>
  <c r="D51" i="27"/>
  <c r="F51" i="27"/>
  <c r="L51" i="27"/>
  <c r="H52" i="27" l="1"/>
  <c r="H51" i="27"/>
  <c r="C52" i="27"/>
  <c r="C51" i="27"/>
  <c r="D16" i="4"/>
  <c r="D17" i="4"/>
  <c r="D23" i="4"/>
  <c r="E11" i="4"/>
  <c r="E45" i="4"/>
  <c r="E14" i="4"/>
  <c r="D52" i="4"/>
  <c r="E49" i="4"/>
  <c r="E46" i="4"/>
  <c r="D53" i="4"/>
  <c r="D59" i="4"/>
  <c r="E52" i="4"/>
  <c r="D34" i="4"/>
  <c r="D68" i="4"/>
  <c r="E30" i="4"/>
  <c r="E66" i="4"/>
  <c r="E63" i="4"/>
  <c r="E27" i="4"/>
  <c r="D69" i="4"/>
  <c r="D35" i="4"/>
  <c r="D41" i="4"/>
  <c r="D75" i="4"/>
  <c r="E33" i="4"/>
  <c r="E69" i="4"/>
  <c r="E64" i="4"/>
  <c r="E80" i="4"/>
  <c r="E47" i="4"/>
  <c r="D24" i="4"/>
  <c r="D44" i="4"/>
  <c r="D60" i="4"/>
  <c r="D76" i="4"/>
  <c r="E20" i="4"/>
  <c r="E38" i="4"/>
  <c r="E58" i="4"/>
  <c r="E74" i="4"/>
  <c r="E71" i="4"/>
  <c r="E54" i="4"/>
  <c r="E35" i="4"/>
  <c r="E16" i="4"/>
  <c r="D77" i="4"/>
  <c r="D61" i="4"/>
  <c r="D45" i="4"/>
  <c r="D27" i="4"/>
  <c r="D83" i="4"/>
  <c r="D15" i="4"/>
  <c r="D33" i="4"/>
  <c r="D51" i="4"/>
  <c r="D67" i="4"/>
  <c r="E55" i="4"/>
  <c r="E23" i="4"/>
  <c r="E41" i="4"/>
  <c r="E61" i="4"/>
  <c r="E77" i="4"/>
  <c r="E72" i="4"/>
  <c r="E56" i="4"/>
  <c r="E28" i="4"/>
  <c r="E36" i="4"/>
  <c r="E18" i="4"/>
  <c r="D74" i="4"/>
  <c r="K22" i="8"/>
  <c r="E15" i="8" s="1"/>
  <c r="E20" i="8" s="1"/>
  <c r="E23" i="8" s="1"/>
  <c r="D58" i="4"/>
  <c r="D40" i="4"/>
  <c r="D22" i="4"/>
  <c r="D12" i="4"/>
  <c r="D20" i="4"/>
  <c r="D30" i="4"/>
  <c r="D38" i="4"/>
  <c r="D48" i="4"/>
  <c r="D56" i="4"/>
  <c r="D64" i="4"/>
  <c r="D72" i="4"/>
  <c r="D80" i="4"/>
  <c r="E15" i="4"/>
  <c r="E24" i="4"/>
  <c r="E34" i="4"/>
  <c r="E44" i="4"/>
  <c r="E53" i="4"/>
  <c r="E62" i="4"/>
  <c r="E70" i="4"/>
  <c r="E78" i="4"/>
  <c r="E75" i="4"/>
  <c r="E67" i="4"/>
  <c r="E59" i="4"/>
  <c r="E50" i="4"/>
  <c r="E39" i="4"/>
  <c r="E31" i="4"/>
  <c r="E21" i="4"/>
  <c r="E12" i="4"/>
  <c r="D81" i="4"/>
  <c r="D73" i="4"/>
  <c r="D65" i="4"/>
  <c r="D57" i="4"/>
  <c r="D49" i="4"/>
  <c r="D39" i="4"/>
  <c r="D31" i="4"/>
  <c r="D21" i="4"/>
  <c r="D13" i="4"/>
  <c r="E83" i="4"/>
  <c r="D11" i="4"/>
  <c r="D19" i="4"/>
  <c r="D29" i="4"/>
  <c r="D37" i="4"/>
  <c r="D47" i="4"/>
  <c r="D55" i="4"/>
  <c r="D63" i="4"/>
  <c r="D71" i="4"/>
  <c r="D79" i="4"/>
  <c r="E10" i="4"/>
  <c r="E19" i="4"/>
  <c r="E29" i="4"/>
  <c r="E37" i="4"/>
  <c r="E48" i="4"/>
  <c r="E57" i="4"/>
  <c r="E65" i="4"/>
  <c r="E73" i="4"/>
  <c r="E81" i="4"/>
  <c r="E76" i="4"/>
  <c r="E68" i="4"/>
  <c r="E60" i="4"/>
  <c r="E51" i="4"/>
  <c r="E40" i="4"/>
  <c r="E32" i="4"/>
  <c r="E22" i="4"/>
  <c r="E9" i="4"/>
  <c r="D66" i="4"/>
  <c r="D50" i="4"/>
  <c r="D32" i="4"/>
  <c r="D14" i="4"/>
  <c r="D78" i="4"/>
  <c r="D70" i="4"/>
  <c r="D62" i="4"/>
  <c r="D54" i="4"/>
  <c r="D46" i="4"/>
  <c r="D36" i="4"/>
  <c r="D28" i="4"/>
  <c r="D18" i="4"/>
  <c r="D10" i="4"/>
  <c r="E13" i="4"/>
  <c r="B33" i="27"/>
  <c r="B40" i="27" s="1"/>
  <c r="B41" i="27" s="1"/>
  <c r="B42" i="27" s="1"/>
  <c r="B51" i="27"/>
  <c r="B52" i="27"/>
  <c r="J22" i="8"/>
  <c r="D15" i="8" s="1"/>
  <c r="D20" i="8" s="1"/>
  <c r="D21" i="8" s="1"/>
  <c r="I22" i="8"/>
  <c r="C15" i="8" s="1"/>
  <c r="L22" i="8"/>
  <c r="F15" i="8" s="1"/>
  <c r="F20" i="8" s="1"/>
  <c r="E21" i="8" l="1"/>
  <c r="D87" i="4"/>
  <c r="C20" i="8"/>
  <c r="E22" i="8" s="1"/>
  <c r="E87" i="4"/>
  <c r="L23" i="8"/>
  <c r="J23" i="8"/>
  <c r="K23" i="8"/>
  <c r="F23" i="8"/>
  <c r="F22" i="8"/>
  <c r="F21" i="8"/>
  <c r="D22" i="8"/>
  <c r="D23" i="8"/>
  <c r="C21" i="8" l="1"/>
</calcChain>
</file>

<file path=xl/comments1.xml><?xml version="1.0" encoding="utf-8"?>
<comments xmlns="http://schemas.openxmlformats.org/spreadsheetml/2006/main">
  <authors>
    <author>Eduardo</author>
    <author>Eduardo Durán S.</author>
  </authors>
  <commentList>
    <comment ref="A27" authorId="0">
      <text>
        <r>
          <rPr>
            <b/>
            <sz val="8"/>
            <color indexed="81"/>
            <rFont val="Tahoma"/>
            <family val="2"/>
          </rPr>
          <t>Eduardo:</t>
        </r>
        <r>
          <rPr>
            <sz val="8"/>
            <color indexed="81"/>
            <rFont val="Tahoma"/>
            <family val="2"/>
          </rPr>
          <t xml:space="preserve">
lento</t>
        </r>
      </text>
    </comment>
    <comment ref="A28" authorId="1">
      <text>
        <r>
          <rPr>
            <b/>
            <sz val="8"/>
            <color indexed="81"/>
            <rFont val="Tahoma"/>
            <family val="2"/>
          </rPr>
          <t>Eduardo Durán:
Moderado</t>
        </r>
      </text>
    </comment>
    <comment ref="A29" authorId="1">
      <text>
        <r>
          <rPr>
            <b/>
            <sz val="8"/>
            <color indexed="81"/>
            <rFont val="Tahoma"/>
            <family val="2"/>
          </rPr>
          <t>Eduardo Durán S.:</t>
        </r>
        <r>
          <rPr>
            <sz val="8"/>
            <color indexed="81"/>
            <rFont val="Tahoma"/>
            <family val="2"/>
          </rPr>
          <t xml:space="preserve">
RAPIDO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32" authorId="1">
      <text>
        <r>
          <rPr>
            <b/>
            <sz val="8"/>
            <color indexed="81"/>
            <rFont val="Tahoma"/>
            <family val="2"/>
          </rPr>
          <t>Eduardo Durán S.: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LENTO</t>
        </r>
      </text>
    </comment>
    <comment ref="A33" authorId="1">
      <text>
        <r>
          <rPr>
            <b/>
            <sz val="8"/>
            <color indexed="81"/>
            <rFont val="Tahoma"/>
            <family val="2"/>
          </rPr>
          <t>Eduardo Durán S.: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MODERADO
</t>
        </r>
      </text>
    </comment>
    <comment ref="A34" authorId="1">
      <text>
        <r>
          <rPr>
            <b/>
            <sz val="8"/>
            <color indexed="81"/>
            <rFont val="Tahoma"/>
            <family val="2"/>
          </rPr>
          <t>Eduardo Durán S.: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RÁPIDO
</t>
        </r>
      </text>
    </comment>
    <comment ref="A37" authorId="1">
      <text>
        <r>
          <rPr>
            <b/>
            <sz val="8"/>
            <color indexed="81"/>
            <rFont val="Tahoma"/>
            <family val="2"/>
          </rPr>
          <t>Eduardo Durán S.: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LENTO A MODERADO ESFUERZO
</t>
        </r>
      </text>
    </comment>
    <comment ref="A38" authorId="1">
      <text>
        <r>
          <rPr>
            <sz val="12"/>
            <color indexed="81"/>
            <rFont val="Tahoma"/>
            <family val="2"/>
          </rPr>
          <t xml:space="preserve">Levantamiento pesas, pesos libres,  nautilus-universal.
</t>
        </r>
      </text>
    </comment>
  </commentList>
</comments>
</file>

<file path=xl/sharedStrings.xml><?xml version="1.0" encoding="utf-8"?>
<sst xmlns="http://schemas.openxmlformats.org/spreadsheetml/2006/main" count="266" uniqueCount="195">
  <si>
    <t>GASTO CALÓRICO</t>
  </si>
  <si>
    <t>PESO</t>
  </si>
  <si>
    <t>TALLA</t>
  </si>
  <si>
    <t>EDAD</t>
  </si>
  <si>
    <t>M.B.</t>
  </si>
  <si>
    <t>HOMBRES</t>
  </si>
  <si>
    <t>MUJERES</t>
  </si>
  <si>
    <t>METs</t>
  </si>
  <si>
    <t>Minutos/dia</t>
  </si>
  <si>
    <t>Calorias Hombre</t>
  </si>
  <si>
    <t>Calorias Mujer</t>
  </si>
  <si>
    <t>ACTIVIDADES DIARIAS</t>
  </si>
  <si>
    <t>Durmiendo</t>
  </si>
  <si>
    <t>Acostado despierto</t>
  </si>
  <si>
    <t>Sentado</t>
  </si>
  <si>
    <t>De pie</t>
  </si>
  <si>
    <t>Viendo TV</t>
  </si>
  <si>
    <t>Trabajo of. Sentado</t>
  </si>
  <si>
    <t>Trabajo of. Movimiento</t>
  </si>
  <si>
    <t xml:space="preserve"> </t>
  </si>
  <si>
    <t>Planchar</t>
  </si>
  <si>
    <t>Lavar vajilla</t>
  </si>
  <si>
    <t>Caminar lento</t>
  </si>
  <si>
    <t>Caminar Moderado</t>
  </si>
  <si>
    <t>Caminar Rápido</t>
  </si>
  <si>
    <t>FITNESS</t>
  </si>
  <si>
    <t>Escalador - Eliptico</t>
  </si>
  <si>
    <t>Pesas - Máquinas</t>
  </si>
  <si>
    <t>Aeróbica</t>
  </si>
  <si>
    <t>Aeróbica en agua</t>
  </si>
  <si>
    <t>DEPORTES</t>
  </si>
  <si>
    <t>Danza / Baile</t>
  </si>
  <si>
    <t>Basketball</t>
  </si>
  <si>
    <t>Basketball Entrenamiento</t>
  </si>
  <si>
    <t>Boxeo</t>
  </si>
  <si>
    <t>Golf</t>
  </si>
  <si>
    <t>Gimnasia</t>
  </si>
  <si>
    <t>Handball</t>
  </si>
  <si>
    <t>Hockey cesped / Hielo</t>
  </si>
  <si>
    <t>Artes marciales</t>
  </si>
  <si>
    <t>Moto-cross</t>
  </si>
  <si>
    <t>Polo</t>
  </si>
  <si>
    <t>Racketball</t>
  </si>
  <si>
    <t>Racketball ocasional</t>
  </si>
  <si>
    <t>Escalada</t>
  </si>
  <si>
    <t>Rugby</t>
  </si>
  <si>
    <t>Skate</t>
  </si>
  <si>
    <t>Roller</t>
  </si>
  <si>
    <t>Sky</t>
  </si>
  <si>
    <t>Fútbol</t>
  </si>
  <si>
    <t>Fútbol Ocasional</t>
  </si>
  <si>
    <t>Squash</t>
  </si>
  <si>
    <t>Ping-Pong</t>
  </si>
  <si>
    <t>Tenis</t>
  </si>
  <si>
    <t>Volleyball</t>
  </si>
  <si>
    <t>Volleyball Ocasional</t>
  </si>
  <si>
    <t>Volley playa</t>
  </si>
  <si>
    <t>1Kg=2.2 Lbs</t>
  </si>
  <si>
    <t>Canotaje</t>
  </si>
  <si>
    <t>Surf</t>
  </si>
  <si>
    <t>Natación</t>
  </si>
  <si>
    <t>Waterpolo</t>
  </si>
  <si>
    <t>Rafting</t>
  </si>
  <si>
    <t>Entrenador</t>
  </si>
  <si>
    <t>Otras Acividades</t>
  </si>
  <si>
    <t>TOTAL MINUTOS</t>
  </si>
  <si>
    <t>CALS HABITUAL</t>
  </si>
  <si>
    <t>CALS ENTRENAMIENTO</t>
  </si>
  <si>
    <t>Cereales</t>
  </si>
  <si>
    <t>ANTROPOMETRIA</t>
  </si>
  <si>
    <t>Talla</t>
  </si>
  <si>
    <t>Peso</t>
  </si>
  <si>
    <t>IMC:</t>
  </si>
  <si>
    <t>Pirámide</t>
  </si>
  <si>
    <t>Kcals</t>
  </si>
  <si>
    <t>CHO</t>
  </si>
  <si>
    <t>Verduras Gral.</t>
  </si>
  <si>
    <t>Verduras libres</t>
  </si>
  <si>
    <t>Frutas</t>
  </si>
  <si>
    <t>Carnes Altos</t>
  </si>
  <si>
    <t>Carnes Bajo</t>
  </si>
  <si>
    <t>Lacteos alto</t>
  </si>
  <si>
    <t>Lacteos medios</t>
  </si>
  <si>
    <t>Lacteos bajos</t>
  </si>
  <si>
    <t>Alim. Lípidos</t>
  </si>
  <si>
    <t>Azúcares</t>
  </si>
  <si>
    <t>Alcohol</t>
  </si>
  <si>
    <t>%</t>
  </si>
  <si>
    <t>Requerimiento</t>
  </si>
  <si>
    <t>Gr</t>
  </si>
  <si>
    <t>Meta de Grasa Corporal</t>
  </si>
  <si>
    <t>Porc.</t>
  </si>
  <si>
    <t>Cals</t>
  </si>
  <si>
    <t>P</t>
  </si>
  <si>
    <t>G</t>
  </si>
  <si>
    <t>Cálculo Adecuación dietaria</t>
  </si>
  <si>
    <t>N° Scoops</t>
  </si>
  <si>
    <t>Aporte dietario</t>
  </si>
  <si>
    <t>Gain Fast</t>
  </si>
  <si>
    <t>Hard Fast</t>
  </si>
  <si>
    <t>Whey pro</t>
  </si>
  <si>
    <t>TOTAL</t>
  </si>
  <si>
    <t xml:space="preserve">      TOTAL</t>
  </si>
  <si>
    <t>% Adecuación</t>
  </si>
  <si>
    <t xml:space="preserve">     % VCT</t>
  </si>
  <si>
    <t>% VCT</t>
  </si>
  <si>
    <t>gr/Kg peso.</t>
  </si>
  <si>
    <t>Edad</t>
  </si>
  <si>
    <t>CALORIMETRIA</t>
  </si>
  <si>
    <t>Ultra whey pro</t>
  </si>
  <si>
    <t>Azúcares 2º</t>
  </si>
  <si>
    <t>Aceite/Grasa</t>
  </si>
  <si>
    <t>REQUERIMIENTO</t>
  </si>
  <si>
    <t>PROT</t>
  </si>
  <si>
    <t>GRASA</t>
  </si>
  <si>
    <t xml:space="preserve">            REQUERIMIENTO</t>
  </si>
  <si>
    <t>Biepi. Húmero</t>
  </si>
  <si>
    <t>Bicond. Femur</t>
  </si>
  <si>
    <t>PIERNA MED.</t>
  </si>
  <si>
    <t>TRICIPITAL</t>
  </si>
  <si>
    <t>SUBESCAP.</t>
  </si>
  <si>
    <t>ABDOMINAL</t>
  </si>
  <si>
    <t>CUADRICEPS</t>
  </si>
  <si>
    <t>Pierna medial</t>
  </si>
  <si>
    <t>ENDO</t>
  </si>
  <si>
    <t>MESO</t>
  </si>
  <si>
    <t>ECTO</t>
  </si>
  <si>
    <t>X</t>
  </si>
  <si>
    <t>Y</t>
  </si>
  <si>
    <t>1 milla 1609mt</t>
  </si>
  <si>
    <t>Trote 5 mph o 8 km/h</t>
  </si>
  <si>
    <t>Trote 7 mph o 11,2 km/h</t>
  </si>
  <si>
    <t>Trote 9 mph o 14,4 km/h</t>
  </si>
  <si>
    <t>Trote 11 mph o 17,6 km/h</t>
  </si>
  <si>
    <t>Bicicleta &lt; 10 mph o 16 km/h</t>
  </si>
  <si>
    <t>Bicicleta 10-11,9 mph o 19km/h</t>
  </si>
  <si>
    <t>Bicicleta 12-13,9 mph o 22,2 km/h</t>
  </si>
  <si>
    <t>Bicicleta 14-15,9 mph o 25,4 km/h</t>
  </si>
  <si>
    <t>Bicicleta 16-19 mph o 30,4 km/h</t>
  </si>
  <si>
    <t>Danza (Ballet - Moderna)</t>
  </si>
  <si>
    <t>Pesca Bote</t>
  </si>
  <si>
    <t>Pesca Rio</t>
  </si>
  <si>
    <t>Subir 1 piso o child care</t>
  </si>
  <si>
    <t>En clases o estudiar</t>
  </si>
  <si>
    <t>Cocinar, instrum, o juego niño sent.</t>
  </si>
  <si>
    <t>Barrer, W de hospital, carga, actor</t>
  </si>
  <si>
    <t>Lucha(5 min)</t>
  </si>
  <si>
    <t>Subir cerros 0-20 Lbs, 0-44 Kg</t>
  </si>
  <si>
    <t>Subir cerros &gt; 21Lbs, Mayor a 44 Kg</t>
  </si>
  <si>
    <t>Buceo Apnea</t>
  </si>
  <si>
    <t>Kajak o rafting</t>
  </si>
  <si>
    <t>Mountaint bike, BMX</t>
  </si>
  <si>
    <t xml:space="preserve">         DDS - REFERENCIA</t>
  </si>
  <si>
    <t>DDS</t>
  </si>
  <si>
    <t>Dieta 1</t>
  </si>
  <si>
    <t>Streching</t>
  </si>
  <si>
    <t>GH</t>
  </si>
  <si>
    <t>SUPRAESPINAL</t>
  </si>
  <si>
    <t>Sum 6 PLIE</t>
  </si>
  <si>
    <t>Braquial Relajado</t>
  </si>
  <si>
    <t>Braquial Contraido</t>
  </si>
  <si>
    <t>Antebrazo</t>
  </si>
  <si>
    <t>Muslo Medio</t>
  </si>
  <si>
    <t>Toracico</t>
  </si>
  <si>
    <t>Nombre</t>
  </si>
  <si>
    <t>Apellido</t>
  </si>
  <si>
    <t>Z Adip</t>
  </si>
  <si>
    <t>KG M Adip</t>
  </si>
  <si>
    <t>% M Adip</t>
  </si>
  <si>
    <t>CORREGIDOS</t>
  </si>
  <si>
    <t>DIAMETROS</t>
  </si>
  <si>
    <t>PERIMETROS</t>
  </si>
  <si>
    <t>BRUTOS</t>
  </si>
  <si>
    <t>Sum Per. Corr</t>
  </si>
  <si>
    <t>Z M Musc</t>
  </si>
  <si>
    <t>KG M Musc</t>
  </si>
  <si>
    <t>% M Musc</t>
  </si>
  <si>
    <r>
      <t>Peso/Talla</t>
    </r>
    <r>
      <rPr>
        <sz val="8"/>
        <color indexed="10"/>
        <rFont val="Arial"/>
        <family val="2"/>
      </rPr>
      <t>´0,33</t>
    </r>
  </si>
  <si>
    <t>PLIEGUES</t>
  </si>
  <si>
    <t>CUTANEOS</t>
  </si>
  <si>
    <t>OSEOS</t>
  </si>
  <si>
    <t>4 es</t>
  </si>
  <si>
    <t>4 estimulos</t>
  </si>
  <si>
    <t>lnes fisico emn el colegio</t>
  </si>
  <si>
    <t>miercoles fisico colegio</t>
  </si>
  <si>
    <t>martes y jueves fisico tecnico</t>
  </si>
  <si>
    <t>micro 2 meses intensidad 85-95%</t>
  </si>
  <si>
    <t>marzo a nov</t>
  </si>
  <si>
    <t>500 saltos a la semana</t>
  </si>
  <si>
    <t>90 min</t>
  </si>
  <si>
    <t>recomendaciones nut r en rugbistas nacionales</t>
  </si>
  <si>
    <t>viernes 25 abril</t>
  </si>
  <si>
    <t>2 esposiciones de 50</t>
  </si>
  <si>
    <t>carla brander</t>
  </si>
  <si>
    <t>Sum3CorrPh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</si>
</sst>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([$€]* #,##0.00_);_([$€]* \(#,##0.00\);_([$€]* &quot;-&quot;??_);_(@_)"/>
    <numFmt numFmtId="166" formatCode="dd\-mm\-yy"/>
    <numFmt numFmtId="167" formatCode="d/m/yy;@"/>
    <numFmt numFmtId="168" formatCode="0.000"/>
    <numFmt numFmtId="169" formatCode="0.000000"/>
  </numFmts>
  <fonts count="48" x14ac:knownFonts="1">
    <font>
      <sz val="10"/>
      <name val="Arial"/>
    </font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6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24"/>
      <color indexed="10"/>
      <name val="Arial"/>
      <family val="2"/>
    </font>
    <font>
      <b/>
      <sz val="18"/>
      <color indexed="18"/>
      <name val="Arial"/>
      <family val="2"/>
    </font>
    <font>
      <b/>
      <sz val="20"/>
      <color indexed="18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2"/>
      <name val="Arial"/>
      <family val="2"/>
    </font>
    <font>
      <b/>
      <sz val="11"/>
      <color indexed="13"/>
      <name val="Arial"/>
      <family val="2"/>
    </font>
    <font>
      <b/>
      <sz val="11"/>
      <color indexed="10"/>
      <name val="Arial"/>
      <family val="2"/>
    </font>
    <font>
      <b/>
      <i/>
      <sz val="11"/>
      <color indexed="13"/>
      <name val="Arial"/>
      <family val="2"/>
    </font>
    <font>
      <b/>
      <i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43"/>
      <name val="Arial"/>
      <family val="2"/>
    </font>
    <font>
      <sz val="8"/>
      <color indexed="10"/>
      <name val="Arial"/>
      <family val="2"/>
    </font>
    <font>
      <sz val="8"/>
      <name val="Arial"/>
    </font>
    <font>
      <sz val="12"/>
      <color indexed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165" fontId="1" fillId="0" borderId="0" applyFont="0" applyFill="0" applyBorder="0" applyAlignment="0" applyProtection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 applyFill="0"/>
    <xf numFmtId="0" fontId="13" fillId="23" borderId="4" applyNumberFormat="0" applyFon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</cellStyleXfs>
  <cellXfs count="174">
    <xf numFmtId="0" fontId="0" fillId="0" borderId="0" xfId="0"/>
    <xf numFmtId="0" fontId="6" fillId="24" borderId="10" xfId="34" applyFont="1" applyFill="1" applyBorder="1" applyAlignment="1">
      <alignment horizontal="center"/>
    </xf>
    <xf numFmtId="0" fontId="7" fillId="25" borderId="12" xfId="34" applyFont="1" applyFill="1" applyBorder="1" applyAlignment="1">
      <alignment horizontal="center"/>
    </xf>
    <xf numFmtId="0" fontId="7" fillId="0" borderId="0" xfId="34" applyFont="1"/>
    <xf numFmtId="0" fontId="8" fillId="24" borderId="10" xfId="34" applyFont="1" applyFill="1" applyBorder="1" applyAlignment="1">
      <alignment horizontal="center"/>
    </xf>
    <xf numFmtId="0" fontId="7" fillId="0" borderId="0" xfId="34" applyFont="1" applyAlignment="1">
      <alignment horizontal="center"/>
    </xf>
    <xf numFmtId="0" fontId="9" fillId="0" borderId="0" xfId="34" applyFont="1"/>
    <xf numFmtId="0" fontId="7" fillId="26" borderId="10" xfId="34" applyFont="1" applyFill="1" applyBorder="1" applyAlignment="1">
      <alignment horizontal="center"/>
    </xf>
    <xf numFmtId="0" fontId="8" fillId="24" borderId="16" xfId="34" applyFont="1" applyFill="1" applyBorder="1" applyAlignment="1">
      <alignment horizontal="center"/>
    </xf>
    <xf numFmtId="0" fontId="8" fillId="24" borderId="17" xfId="34" applyFont="1" applyFill="1" applyBorder="1" applyAlignment="1">
      <alignment horizontal="center"/>
    </xf>
    <xf numFmtId="0" fontId="5" fillId="27" borderId="2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6" fillId="24" borderId="28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7" fillId="28" borderId="10" xfId="0" applyFont="1" applyFill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0" fontId="5" fillId="0" borderId="0" xfId="0" applyFont="1"/>
    <xf numFmtId="0" fontId="7" fillId="28" borderId="1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29" borderId="27" xfId="0" applyFont="1" applyFill="1" applyBorder="1"/>
    <xf numFmtId="0" fontId="5" fillId="0" borderId="29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6" fillId="24" borderId="27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6" fillId="24" borderId="10" xfId="0" applyFont="1" applyFill="1" applyBorder="1" applyAlignment="1">
      <alignment horizontal="center"/>
    </xf>
    <xf numFmtId="1" fontId="6" fillId="24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8" borderId="31" xfId="0" applyFont="1" applyFill="1" applyBorder="1"/>
    <xf numFmtId="0" fontId="7" fillId="28" borderId="32" xfId="0" applyFont="1" applyFill="1" applyBorder="1"/>
    <xf numFmtId="0" fontId="7" fillId="28" borderId="33" xfId="0" applyFont="1" applyFill="1" applyBorder="1"/>
    <xf numFmtId="0" fontId="12" fillId="29" borderId="10" xfId="0" applyFont="1" applyFill="1" applyBorder="1"/>
    <xf numFmtId="0" fontId="7" fillId="28" borderId="29" xfId="0" applyFont="1" applyFill="1" applyBorder="1"/>
    <xf numFmtId="1" fontId="7" fillId="0" borderId="0" xfId="0" applyNumberFormat="1" applyFont="1" applyBorder="1" applyAlignment="1">
      <alignment horizontal="center"/>
    </xf>
    <xf numFmtId="0" fontId="7" fillId="0" borderId="26" xfId="0" applyFont="1" applyFill="1" applyBorder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28" borderId="10" xfId="0" applyNumberFormat="1" applyFont="1" applyFill="1" applyBorder="1" applyAlignment="1">
      <alignment horizontal="center"/>
    </xf>
    <xf numFmtId="0" fontId="12" fillId="30" borderId="10" xfId="0" applyFont="1" applyFill="1" applyBorder="1" applyAlignment="1">
      <alignment horizontal="center"/>
    </xf>
    <xf numFmtId="0" fontId="12" fillId="30" borderId="10" xfId="0" applyFont="1" applyFill="1" applyBorder="1"/>
    <xf numFmtId="0" fontId="11" fillId="30" borderId="11" xfId="0" applyFont="1" applyFill="1" applyBorder="1"/>
    <xf numFmtId="0" fontId="6" fillId="24" borderId="34" xfId="0" applyFont="1" applyFill="1" applyBorder="1" applyAlignment="1">
      <alignment horizontal="center"/>
    </xf>
    <xf numFmtId="0" fontId="17" fillId="0" borderId="0" xfId="35" applyFont="1" applyFill="1" applyBorder="1" applyAlignment="1">
      <alignment horizontal="center"/>
    </xf>
    <xf numFmtId="0" fontId="18" fillId="0" borderId="0" xfId="35" applyFont="1"/>
    <xf numFmtId="0" fontId="20" fillId="0" borderId="0" xfId="35" applyFont="1" applyFill="1" applyBorder="1" applyAlignment="1">
      <alignment horizontal="center"/>
    </xf>
    <xf numFmtId="0" fontId="18" fillId="0" borderId="0" xfId="35" applyFont="1" applyBorder="1"/>
    <xf numFmtId="0" fontId="21" fillId="0" borderId="0" xfId="35" applyFont="1"/>
    <xf numFmtId="0" fontId="20" fillId="0" borderId="0" xfId="35" applyFont="1"/>
    <xf numFmtId="0" fontId="20" fillId="24" borderId="10" xfId="35" applyFont="1" applyFill="1" applyBorder="1" applyAlignment="1">
      <alignment horizontal="center"/>
    </xf>
    <xf numFmtId="0" fontId="20" fillId="24" borderId="35" xfId="35" applyFont="1" applyFill="1" applyBorder="1" applyAlignment="1">
      <alignment horizontal="center"/>
    </xf>
    <xf numFmtId="0" fontId="20" fillId="28" borderId="10" xfId="35" applyFont="1" applyFill="1" applyBorder="1" applyAlignment="1">
      <alignment horizontal="center"/>
    </xf>
    <xf numFmtId="0" fontId="20" fillId="28" borderId="36" xfId="35" applyFont="1" applyFill="1" applyBorder="1" applyAlignment="1">
      <alignment horizontal="center"/>
    </xf>
    <xf numFmtId="0" fontId="20" fillId="24" borderId="23" xfId="35" applyFont="1" applyFill="1" applyBorder="1" applyAlignment="1">
      <alignment horizontal="center"/>
    </xf>
    <xf numFmtId="0" fontId="19" fillId="28" borderId="24" xfId="35" applyFont="1" applyFill="1" applyBorder="1" applyAlignment="1">
      <alignment horizontal="center"/>
    </xf>
    <xf numFmtId="164" fontId="19" fillId="28" borderId="24" xfId="35" applyNumberFormat="1" applyFont="1" applyFill="1" applyBorder="1" applyAlignment="1">
      <alignment horizontal="center"/>
    </xf>
    <xf numFmtId="0" fontId="19" fillId="28" borderId="25" xfId="35" applyFont="1" applyFill="1" applyBorder="1" applyAlignment="1">
      <alignment horizontal="center"/>
    </xf>
    <xf numFmtId="0" fontId="22" fillId="31" borderId="37" xfId="35" applyFont="1" applyFill="1" applyBorder="1"/>
    <xf numFmtId="0" fontId="23" fillId="24" borderId="38" xfId="35" applyFont="1" applyFill="1" applyBorder="1" applyAlignment="1">
      <alignment horizontal="center"/>
    </xf>
    <xf numFmtId="0" fontId="23" fillId="24" borderId="18" xfId="35" applyFont="1" applyFill="1" applyBorder="1" applyAlignment="1">
      <alignment horizontal="center"/>
    </xf>
    <xf numFmtId="0" fontId="22" fillId="32" borderId="39" xfId="35" applyFont="1" applyFill="1" applyBorder="1" applyAlignment="1">
      <alignment horizontal="center"/>
    </xf>
    <xf numFmtId="0" fontId="20" fillId="26" borderId="40" xfId="35" applyFont="1" applyFill="1" applyBorder="1" applyAlignment="1">
      <alignment horizontal="center"/>
    </xf>
    <xf numFmtId="0" fontId="20" fillId="26" borderId="20" xfId="35" applyFont="1" applyFill="1" applyBorder="1" applyAlignment="1">
      <alignment horizontal="center"/>
    </xf>
    <xf numFmtId="0" fontId="20" fillId="26" borderId="21" xfId="35" applyFont="1" applyFill="1" applyBorder="1" applyAlignment="1">
      <alignment horizontal="center"/>
    </xf>
    <xf numFmtId="0" fontId="20" fillId="26" borderId="22" xfId="35" applyFont="1" applyFill="1" applyBorder="1" applyAlignment="1">
      <alignment horizontal="center"/>
    </xf>
    <xf numFmtId="0" fontId="24" fillId="31" borderId="38" xfId="35" applyFont="1" applyFill="1" applyBorder="1"/>
    <xf numFmtId="0" fontId="24" fillId="31" borderId="19" xfId="35" applyFont="1" applyFill="1" applyBorder="1"/>
    <xf numFmtId="0" fontId="25" fillId="0" borderId="0" xfId="35" applyFont="1" applyFill="1" applyBorder="1"/>
    <xf numFmtId="0" fontId="22" fillId="32" borderId="41" xfId="35" applyFont="1" applyFill="1" applyBorder="1" applyAlignment="1">
      <alignment horizontal="center"/>
    </xf>
    <xf numFmtId="0" fontId="20" fillId="26" borderId="42" xfId="35" applyFont="1" applyFill="1" applyBorder="1" applyAlignment="1">
      <alignment horizontal="center"/>
    </xf>
    <xf numFmtId="0" fontId="20" fillId="26" borderId="35" xfId="35" applyFont="1" applyFill="1" applyBorder="1" applyAlignment="1">
      <alignment horizontal="center"/>
    </xf>
    <xf numFmtId="0" fontId="20" fillId="26" borderId="10" xfId="35" applyFont="1" applyFill="1" applyBorder="1" applyAlignment="1">
      <alignment horizontal="center"/>
    </xf>
    <xf numFmtId="0" fontId="20" fillId="26" borderId="36" xfId="35" applyFont="1" applyFill="1" applyBorder="1" applyAlignment="1">
      <alignment horizontal="center"/>
    </xf>
    <xf numFmtId="0" fontId="18" fillId="24" borderId="38" xfId="35" applyFont="1" applyFill="1" applyBorder="1"/>
    <xf numFmtId="0" fontId="23" fillId="24" borderId="19" xfId="35" applyFont="1" applyFill="1" applyBorder="1" applyAlignment="1">
      <alignment horizontal="center"/>
    </xf>
    <xf numFmtId="0" fontId="23" fillId="24" borderId="40" xfId="35" applyFont="1" applyFill="1" applyBorder="1" applyAlignment="1">
      <alignment horizontal="center"/>
    </xf>
    <xf numFmtId="0" fontId="20" fillId="26" borderId="43" xfId="35" applyFont="1" applyFill="1" applyBorder="1" applyAlignment="1">
      <alignment horizontal="center"/>
    </xf>
    <xf numFmtId="164" fontId="20" fillId="26" borderId="21" xfId="35" applyNumberFormat="1" applyFont="1" applyFill="1" applyBorder="1" applyAlignment="1">
      <alignment horizontal="center"/>
    </xf>
    <xf numFmtId="0" fontId="23" fillId="24" borderId="42" xfId="35" applyFont="1" applyFill="1" applyBorder="1" applyAlignment="1">
      <alignment horizontal="center"/>
    </xf>
    <xf numFmtId="0" fontId="20" fillId="26" borderId="11" xfId="35" applyFont="1" applyFill="1" applyBorder="1" applyAlignment="1">
      <alignment horizontal="center"/>
    </xf>
    <xf numFmtId="164" fontId="20" fillId="26" borderId="10" xfId="35" applyNumberFormat="1" applyFont="1" applyFill="1" applyBorder="1" applyAlignment="1">
      <alignment horizontal="center"/>
    </xf>
    <xf numFmtId="0" fontId="26" fillId="25" borderId="40" xfId="35" applyFont="1" applyFill="1" applyBorder="1" applyAlignment="1">
      <alignment horizontal="center"/>
    </xf>
    <xf numFmtId="0" fontId="19" fillId="26" borderId="43" xfId="35" applyFont="1" applyFill="1" applyBorder="1" applyAlignment="1">
      <alignment horizontal="center"/>
    </xf>
    <xf numFmtId="164" fontId="19" fillId="26" borderId="21" xfId="35" applyNumberFormat="1" applyFont="1" applyFill="1" applyBorder="1" applyAlignment="1">
      <alignment horizontal="center"/>
    </xf>
    <xf numFmtId="0" fontId="26" fillId="25" borderId="42" xfId="35" applyFont="1" applyFill="1" applyBorder="1" applyAlignment="1">
      <alignment horizontal="center"/>
    </xf>
    <xf numFmtId="0" fontId="19" fillId="26" borderId="11" xfId="35" applyFont="1" applyFill="1" applyBorder="1" applyAlignment="1">
      <alignment horizontal="center"/>
    </xf>
    <xf numFmtId="164" fontId="20" fillId="26" borderId="36" xfId="35" applyNumberFormat="1" applyFont="1" applyFill="1" applyBorder="1" applyAlignment="1">
      <alignment horizontal="center"/>
    </xf>
    <xf numFmtId="0" fontId="26" fillId="25" borderId="44" xfId="35" applyFont="1" applyFill="1" applyBorder="1" applyAlignment="1">
      <alignment horizontal="center"/>
    </xf>
    <xf numFmtId="0" fontId="14" fillId="26" borderId="15" xfId="35" applyFont="1" applyFill="1" applyBorder="1" applyAlignment="1">
      <alignment horizontal="center"/>
    </xf>
    <xf numFmtId="164" fontId="18" fillId="26" borderId="12" xfId="35" applyNumberFormat="1" applyFont="1" applyFill="1" applyBorder="1" applyAlignment="1">
      <alignment horizontal="center"/>
    </xf>
    <xf numFmtId="0" fontId="26" fillId="25" borderId="34" xfId="35" applyFont="1" applyFill="1" applyBorder="1" applyAlignment="1">
      <alignment horizontal="center"/>
    </xf>
    <xf numFmtId="0" fontId="14" fillId="26" borderId="45" xfId="35" applyFont="1" applyFill="1" applyBorder="1" applyAlignment="1">
      <alignment horizontal="center"/>
    </xf>
    <xf numFmtId="164" fontId="18" fillId="26" borderId="18" xfId="35" applyNumberFormat="1" applyFont="1" applyFill="1" applyBorder="1" applyAlignment="1">
      <alignment horizontal="center"/>
    </xf>
    <xf numFmtId="0" fontId="20" fillId="26" borderId="44" xfId="35" applyFont="1" applyFill="1" applyBorder="1" applyAlignment="1">
      <alignment horizontal="center"/>
    </xf>
    <xf numFmtId="0" fontId="20" fillId="26" borderId="23" xfId="35" applyFont="1" applyFill="1" applyBorder="1" applyAlignment="1">
      <alignment horizontal="center"/>
    </xf>
    <xf numFmtId="0" fontId="20" fillId="26" borderId="24" xfId="35" applyFont="1" applyFill="1" applyBorder="1" applyAlignment="1">
      <alignment horizontal="center"/>
    </xf>
    <xf numFmtId="0" fontId="20" fillId="26" borderId="25" xfId="35" applyFont="1" applyFill="1" applyBorder="1" applyAlignment="1">
      <alignment horizontal="center"/>
    </xf>
    <xf numFmtId="0" fontId="26" fillId="25" borderId="46" xfId="35" applyFont="1" applyFill="1" applyBorder="1" applyAlignment="1">
      <alignment horizontal="center"/>
    </xf>
    <xf numFmtId="0" fontId="26" fillId="25" borderId="47" xfId="35" applyFont="1" applyFill="1" applyBorder="1" applyAlignment="1">
      <alignment horizontal="center"/>
    </xf>
    <xf numFmtId="0" fontId="23" fillId="24" borderId="43" xfId="35" applyFont="1" applyFill="1" applyBorder="1" applyAlignment="1">
      <alignment horizontal="center"/>
    </xf>
    <xf numFmtId="0" fontId="23" fillId="24" borderId="21" xfId="35" applyFont="1" applyFill="1" applyBorder="1" applyAlignment="1">
      <alignment horizontal="center"/>
    </xf>
    <xf numFmtId="0" fontId="14" fillId="0" borderId="0" xfId="35" applyFont="1"/>
    <xf numFmtId="0" fontId="26" fillId="25" borderId="48" xfId="35" applyFont="1" applyFill="1" applyBorder="1" applyAlignment="1">
      <alignment horizontal="center"/>
    </xf>
    <xf numFmtId="0" fontId="26" fillId="25" borderId="49" xfId="35" applyFont="1" applyFill="1" applyBorder="1" applyAlignment="1">
      <alignment horizontal="center"/>
    </xf>
    <xf numFmtId="0" fontId="23" fillId="24" borderId="50" xfId="35" applyFont="1" applyFill="1" applyBorder="1" applyAlignment="1">
      <alignment horizontal="center"/>
    </xf>
    <xf numFmtId="164" fontId="23" fillId="24" borderId="24" xfId="35" applyNumberFormat="1" applyFont="1" applyFill="1" applyBorder="1" applyAlignment="1">
      <alignment horizontal="center"/>
    </xf>
    <xf numFmtId="0" fontId="26" fillId="0" borderId="0" xfId="35" applyFont="1" applyFill="1" applyBorder="1" applyAlignment="1">
      <alignment horizontal="center"/>
    </xf>
    <xf numFmtId="0" fontId="23" fillId="0" borderId="0" xfId="35" applyFont="1" applyFill="1" applyBorder="1" applyAlignment="1">
      <alignment horizontal="center"/>
    </xf>
    <xf numFmtId="164" fontId="23" fillId="0" borderId="0" xfId="35" applyNumberFormat="1" applyFont="1" applyFill="1" applyBorder="1" applyAlignment="1">
      <alignment horizontal="center"/>
    </xf>
    <xf numFmtId="0" fontId="20" fillId="0" borderId="51" xfId="35" applyFont="1" applyFill="1" applyBorder="1" applyAlignment="1">
      <alignment horizontal="center"/>
    </xf>
    <xf numFmtId="0" fontId="20" fillId="24" borderId="13" xfId="35" applyFont="1" applyFill="1" applyBorder="1" applyAlignment="1">
      <alignment horizontal="center"/>
    </xf>
    <xf numFmtId="0" fontId="10" fillId="29" borderId="10" xfId="35" applyFont="1" applyFill="1" applyBorder="1"/>
    <xf numFmtId="0" fontId="19" fillId="29" borderId="10" xfId="35" applyFont="1" applyFill="1" applyBorder="1" applyAlignment="1">
      <alignment horizontal="center"/>
    </xf>
    <xf numFmtId="0" fontId="7" fillId="0" borderId="0" xfId="34" applyFont="1" applyFill="1" applyBorder="1" applyAlignment="1">
      <alignment horizontal="center"/>
    </xf>
    <xf numFmtId="0" fontId="7" fillId="33" borderId="10" xfId="34" applyFont="1" applyFill="1" applyBorder="1" applyAlignment="1">
      <alignment horizontal="center"/>
    </xf>
    <xf numFmtId="0" fontId="7" fillId="34" borderId="10" xfId="34" applyFont="1" applyFill="1" applyBorder="1" applyAlignment="1">
      <alignment horizontal="center"/>
    </xf>
    <xf numFmtId="0" fontId="5" fillId="0" borderId="0" xfId="34" applyFont="1" applyAlignment="1">
      <alignment horizontal="center"/>
    </xf>
    <xf numFmtId="0" fontId="20" fillId="24" borderId="52" xfId="35" applyFont="1" applyFill="1" applyBorder="1" applyAlignment="1">
      <alignment horizontal="center"/>
    </xf>
    <xf numFmtId="0" fontId="19" fillId="26" borderId="53" xfId="35" applyFont="1" applyFill="1" applyBorder="1" applyAlignment="1">
      <alignment horizontal="center"/>
    </xf>
    <xf numFmtId="0" fontId="19" fillId="0" borderId="0" xfId="35" applyFont="1" applyFill="1" applyBorder="1" applyAlignment="1">
      <alignment horizontal="center"/>
    </xf>
    <xf numFmtId="164" fontId="19" fillId="0" borderId="0" xfId="35" applyNumberFormat="1" applyFont="1" applyFill="1" applyBorder="1" applyAlignment="1">
      <alignment horizontal="center"/>
    </xf>
    <xf numFmtId="0" fontId="20" fillId="0" borderId="16" xfId="35" applyFont="1" applyFill="1" applyBorder="1" applyAlignment="1">
      <alignment horizontal="center"/>
    </xf>
    <xf numFmtId="0" fontId="19" fillId="0" borderId="16" xfId="35" applyFont="1" applyFill="1" applyBorder="1" applyAlignment="1">
      <alignment horizontal="center"/>
    </xf>
    <xf numFmtId="0" fontId="22" fillId="31" borderId="22" xfId="35" applyFont="1" applyFill="1" applyBorder="1"/>
    <xf numFmtId="0" fontId="7" fillId="0" borderId="2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7" fontId="18" fillId="0" borderId="0" xfId="35" applyNumberFormat="1" applyFont="1"/>
    <xf numFmtId="164" fontId="7" fillId="25" borderId="12" xfId="34" applyNumberFormat="1" applyFont="1" applyFill="1" applyBorder="1" applyAlignment="1">
      <alignment horizontal="center"/>
    </xf>
    <xf numFmtId="164" fontId="6" fillId="24" borderId="10" xfId="0" applyNumberFormat="1" applyFont="1" applyFill="1" applyBorder="1" applyAlignment="1">
      <alignment horizontal="center"/>
    </xf>
    <xf numFmtId="0" fontId="7" fillId="0" borderId="10" xfId="34" applyFont="1" applyBorder="1" applyAlignment="1">
      <alignment horizontal="center"/>
    </xf>
    <xf numFmtId="0" fontId="8" fillId="24" borderId="14" xfId="34" applyFont="1" applyFill="1" applyBorder="1" applyAlignment="1">
      <alignment horizontal="center"/>
    </xf>
    <xf numFmtId="0" fontId="8" fillId="28" borderId="37" xfId="0" applyFont="1" applyFill="1" applyBorder="1" applyAlignment="1">
      <alignment horizontal="center"/>
    </xf>
    <xf numFmtId="0" fontId="44" fillId="31" borderId="46" xfId="0" applyFont="1" applyFill="1" applyBorder="1" applyAlignment="1">
      <alignment horizontal="center"/>
    </xf>
    <xf numFmtId="0" fontId="9" fillId="0" borderId="0" xfId="34" applyFont="1" applyAlignment="1">
      <alignment horizontal="left"/>
    </xf>
    <xf numFmtId="0" fontId="8" fillId="0" borderId="10" xfId="34" applyFont="1" applyFill="1" applyBorder="1" applyAlignment="1">
      <alignment horizontal="center"/>
    </xf>
    <xf numFmtId="0" fontId="8" fillId="0" borderId="0" xfId="34" applyFont="1" applyFill="1" applyBorder="1" applyAlignment="1">
      <alignment horizontal="center"/>
    </xf>
    <xf numFmtId="2" fontId="7" fillId="0" borderId="0" xfId="34" applyNumberFormat="1" applyFont="1" applyFill="1" applyBorder="1" applyAlignment="1">
      <alignment horizontal="center"/>
    </xf>
    <xf numFmtId="0" fontId="8" fillId="0" borderId="0" xfId="34" applyFont="1" applyFill="1" applyAlignment="1">
      <alignment horizontal="center"/>
    </xf>
    <xf numFmtId="0" fontId="7" fillId="0" borderId="0" xfId="34" applyFont="1" applyFill="1" applyAlignment="1">
      <alignment horizontal="center"/>
    </xf>
    <xf numFmtId="2" fontId="7" fillId="0" borderId="10" xfId="34" applyNumberFormat="1" applyFont="1" applyFill="1" applyBorder="1" applyAlignment="1">
      <alignment horizontal="center"/>
    </xf>
    <xf numFmtId="0" fontId="8" fillId="0" borderId="38" xfId="34" applyFont="1" applyFill="1" applyBorder="1" applyAlignment="1">
      <alignment horizontal="center"/>
    </xf>
    <xf numFmtId="0" fontId="7" fillId="0" borderId="19" xfId="34" applyFont="1" applyFill="1" applyBorder="1" applyAlignment="1">
      <alignment horizontal="center"/>
    </xf>
    <xf numFmtId="0" fontId="7" fillId="0" borderId="20" xfId="34" applyFont="1" applyFill="1" applyBorder="1" applyAlignment="1">
      <alignment horizontal="center"/>
    </xf>
    <xf numFmtId="168" fontId="7" fillId="0" borderId="22" xfId="34" applyNumberFormat="1" applyFont="1" applyFill="1" applyBorder="1" applyAlignment="1">
      <alignment horizontal="center"/>
    </xf>
    <xf numFmtId="0" fontId="8" fillId="0" borderId="20" xfId="34" applyFont="1" applyFill="1" applyBorder="1" applyAlignment="1">
      <alignment horizontal="center"/>
    </xf>
    <xf numFmtId="164" fontId="7" fillId="0" borderId="22" xfId="34" applyNumberFormat="1" applyFont="1" applyFill="1" applyBorder="1" applyAlignment="1">
      <alignment horizontal="center"/>
    </xf>
    <xf numFmtId="0" fontId="6" fillId="36" borderId="10" xfId="34" applyFont="1" applyFill="1" applyBorder="1" applyAlignment="1">
      <alignment horizontal="center"/>
    </xf>
    <xf numFmtId="0" fontId="6" fillId="36" borderId="0" xfId="34" applyFont="1" applyFill="1" applyAlignment="1">
      <alignment horizontal="center"/>
    </xf>
    <xf numFmtId="164" fontId="6" fillId="36" borderId="10" xfId="34" applyNumberFormat="1" applyFont="1" applyFill="1" applyBorder="1" applyAlignment="1">
      <alignment horizontal="center"/>
    </xf>
    <xf numFmtId="164" fontId="7" fillId="25" borderId="10" xfId="34" applyNumberFormat="1" applyFont="1" applyFill="1" applyBorder="1" applyAlignment="1">
      <alignment horizontal="center"/>
    </xf>
    <xf numFmtId="0" fontId="6" fillId="36" borderId="16" xfId="34" applyFont="1" applyFill="1" applyBorder="1" applyAlignment="1">
      <alignment horizontal="center"/>
    </xf>
    <xf numFmtId="0" fontId="6" fillId="36" borderId="0" xfId="34" applyFont="1" applyFill="1" applyBorder="1" applyAlignment="1">
      <alignment horizontal="center"/>
    </xf>
    <xf numFmtId="0" fontId="6" fillId="24" borderId="14" xfId="34" applyFont="1" applyFill="1" applyBorder="1" applyAlignment="1">
      <alignment horizontal="center"/>
    </xf>
    <xf numFmtId="166" fontId="5" fillId="25" borderId="10" xfId="34" applyNumberFormat="1" applyFont="1" applyFill="1" applyBorder="1" applyAlignment="1">
      <alignment horizontal="center"/>
    </xf>
    <xf numFmtId="166" fontId="5" fillId="25" borderId="12" xfId="34" applyNumberFormat="1" applyFont="1" applyFill="1" applyBorder="1" applyAlignment="1">
      <alignment horizontal="center"/>
    </xf>
    <xf numFmtId="2" fontId="5" fillId="33" borderId="10" xfId="34" applyNumberFormat="1" applyFont="1" applyFill="1" applyBorder="1" applyAlignment="1">
      <alignment horizontal="center"/>
    </xf>
    <xf numFmtId="164" fontId="7" fillId="0" borderId="19" xfId="34" applyNumberFormat="1" applyFont="1" applyFill="1" applyBorder="1" applyAlignment="1">
      <alignment horizontal="center"/>
    </xf>
    <xf numFmtId="164" fontId="7" fillId="0" borderId="10" xfId="34" applyNumberFormat="1" applyFont="1" applyFill="1" applyBorder="1" applyAlignment="1">
      <alignment horizontal="center"/>
    </xf>
    <xf numFmtId="169" fontId="47" fillId="0" borderId="0" xfId="34" applyNumberFormat="1" applyFont="1" applyFill="1" applyAlignment="1">
      <alignment horizontal="center"/>
    </xf>
    <xf numFmtId="0" fontId="7" fillId="35" borderId="0" xfId="34" applyFont="1" applyFill="1"/>
    <xf numFmtId="0" fontId="6" fillId="35" borderId="35" xfId="34" applyFont="1" applyFill="1" applyBorder="1" applyAlignment="1">
      <alignment horizontal="center"/>
    </xf>
    <xf numFmtId="2" fontId="5" fillId="35" borderId="36" xfId="34" applyNumberFormat="1" applyFont="1" applyFill="1" applyBorder="1" applyAlignment="1">
      <alignment horizontal="center"/>
    </xf>
    <xf numFmtId="0" fontId="6" fillId="35" borderId="23" xfId="34" applyFont="1" applyFill="1" applyBorder="1" applyAlignment="1">
      <alignment horizontal="center"/>
    </xf>
    <xf numFmtId="2" fontId="5" fillId="35" borderId="25" xfId="34" applyNumberFormat="1" applyFont="1" applyFill="1" applyBorder="1" applyAlignment="1">
      <alignment horizontal="center"/>
    </xf>
    <xf numFmtId="0" fontId="6" fillId="33" borderId="35" xfId="34" applyFont="1" applyFill="1" applyBorder="1" applyAlignment="1">
      <alignment horizontal="center"/>
    </xf>
    <xf numFmtId="2" fontId="5" fillId="33" borderId="36" xfId="34" applyNumberFormat="1" applyFont="1" applyFill="1" applyBorder="1" applyAlignment="1">
      <alignment horizontal="center"/>
    </xf>
    <xf numFmtId="0" fontId="7" fillId="33" borderId="0" xfId="34" applyFont="1" applyFill="1"/>
    <xf numFmtId="0" fontId="6" fillId="33" borderId="23" xfId="34" applyFont="1" applyFill="1" applyBorder="1" applyAlignment="1">
      <alignment horizontal="center"/>
    </xf>
    <xf numFmtId="2" fontId="5" fillId="33" borderId="25" xfId="34" applyNumberFormat="1" applyFont="1" applyFill="1" applyBorder="1" applyAlignment="1">
      <alignment horizontal="center"/>
    </xf>
    <xf numFmtId="16" fontId="7" fillId="0" borderId="0" xfId="34" applyNumberFormat="1" applyFont="1"/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_FRH" xfId="34"/>
    <cellStyle name="Normal_Planilla Ficha Registro Nutricional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uardo\Programas\CURSO%20ISAK%20STGO.%202003\Medici&#243;n%20Eduar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Escritorio\Arangio\Antrop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 datos brutos"/>
      <sheetName val="Presentación"/>
    </sheetNames>
    <sheetDataSet>
      <sheetData sheetId="0">
        <row r="2">
          <cell r="P2" t="str">
            <v>A</v>
          </cell>
          <cell r="Q2" t="str">
            <v>Sedentaria</v>
          </cell>
          <cell r="R2">
            <v>1.3</v>
          </cell>
          <cell r="S2">
            <v>1.3</v>
          </cell>
          <cell r="AE2" t="str">
            <v>Arq</v>
          </cell>
          <cell r="AF2" t="str">
            <v>Futbol - Posición: Arquero</v>
          </cell>
        </row>
        <row r="3">
          <cell r="P3" t="str">
            <v>B</v>
          </cell>
          <cell r="Q3" t="str">
            <v>Liviana</v>
          </cell>
          <cell r="R3">
            <v>1.5</v>
          </cell>
          <cell r="S3">
            <v>1.6</v>
          </cell>
          <cell r="AE3" t="str">
            <v>Australian Rules</v>
          </cell>
          <cell r="AF3" t="str">
            <v>Australian Rules</v>
          </cell>
        </row>
        <row r="4">
          <cell r="P4" t="str">
            <v>C</v>
          </cell>
          <cell r="Q4" t="str">
            <v>Moderada</v>
          </cell>
          <cell r="R4">
            <v>1.6</v>
          </cell>
          <cell r="S4">
            <v>1.7</v>
          </cell>
          <cell r="U4">
            <v>1</v>
          </cell>
          <cell r="V4">
            <v>16.600000000000001</v>
          </cell>
          <cell r="X4">
            <v>21</v>
          </cell>
          <cell r="Z4">
            <v>18.899999999999999</v>
          </cell>
          <cell r="AB4">
            <v>26</v>
          </cell>
          <cell r="AE4" t="str">
            <v>Baminton</v>
          </cell>
          <cell r="AF4" t="str">
            <v>Baminton</v>
          </cell>
        </row>
        <row r="5">
          <cell r="P5" t="str">
            <v>D</v>
          </cell>
          <cell r="Q5" t="str">
            <v>Intensa</v>
          </cell>
          <cell r="R5">
            <v>1.9</v>
          </cell>
          <cell r="S5">
            <v>2.1</v>
          </cell>
          <cell r="U5">
            <v>2</v>
          </cell>
          <cell r="V5">
            <v>16.600000000000001</v>
          </cell>
          <cell r="W5">
            <v>20</v>
          </cell>
          <cell r="X5">
            <v>21</v>
          </cell>
          <cell r="Y5">
            <v>24</v>
          </cell>
          <cell r="Z5">
            <v>19</v>
          </cell>
          <cell r="AA5">
            <v>23.1</v>
          </cell>
          <cell r="AB5">
            <v>26.1</v>
          </cell>
          <cell r="AC5">
            <v>28</v>
          </cell>
          <cell r="AE5" t="str">
            <v>Basketball</v>
          </cell>
          <cell r="AF5" t="str">
            <v>Basketball</v>
          </cell>
        </row>
        <row r="6">
          <cell r="P6" t="str">
            <v>E</v>
          </cell>
          <cell r="Q6" t="str">
            <v>Extremada</v>
          </cell>
          <cell r="R6">
            <v>2.2000000000000002</v>
          </cell>
          <cell r="S6">
            <v>2.4</v>
          </cell>
          <cell r="U6">
            <v>3</v>
          </cell>
          <cell r="V6">
            <v>20.100000000000001</v>
          </cell>
          <cell r="W6">
            <v>26</v>
          </cell>
          <cell r="X6">
            <v>24</v>
          </cell>
          <cell r="Y6">
            <v>29</v>
          </cell>
          <cell r="Z6">
            <v>23.2</v>
          </cell>
          <cell r="AA6">
            <v>27.5</v>
          </cell>
          <cell r="AB6">
            <v>28.1</v>
          </cell>
          <cell r="AC6">
            <v>30</v>
          </cell>
          <cell r="AE6" t="str">
            <v>Basquetball</v>
          </cell>
          <cell r="AF6" t="str">
            <v>Basquetball</v>
          </cell>
        </row>
        <row r="7">
          <cell r="P7" t="str">
            <v>F</v>
          </cell>
          <cell r="Q7" t="str">
            <v>Incorrecta</v>
          </cell>
          <cell r="R7">
            <v>0</v>
          </cell>
          <cell r="S7">
            <v>0</v>
          </cell>
          <cell r="U7">
            <v>4</v>
          </cell>
          <cell r="V7">
            <v>26.1</v>
          </cell>
          <cell r="W7">
            <v>30.6</v>
          </cell>
          <cell r="X7">
            <v>29.1</v>
          </cell>
          <cell r="Y7">
            <v>34</v>
          </cell>
          <cell r="Z7">
            <v>27.6</v>
          </cell>
          <cell r="AA7">
            <v>33</v>
          </cell>
          <cell r="AB7">
            <v>30.1</v>
          </cell>
          <cell r="AC7">
            <v>36</v>
          </cell>
          <cell r="AE7" t="str">
            <v>Cricket</v>
          </cell>
          <cell r="AF7" t="str">
            <v>Cricket</v>
          </cell>
        </row>
        <row r="8">
          <cell r="U8">
            <v>5</v>
          </cell>
          <cell r="V8">
            <v>30.6</v>
          </cell>
          <cell r="X8">
            <v>34</v>
          </cell>
          <cell r="Z8">
            <v>33</v>
          </cell>
          <cell r="AB8">
            <v>36</v>
          </cell>
          <cell r="AE8" t="str">
            <v>DefCen</v>
          </cell>
          <cell r="AF8" t="str">
            <v>Futbol - Posición: Defensor Central</v>
          </cell>
        </row>
        <row r="9">
          <cell r="AE9" t="str">
            <v>DefLat</v>
          </cell>
          <cell r="AF9" t="str">
            <v>Futbol - Posición: Defensor Lateral</v>
          </cell>
        </row>
        <row r="10">
          <cell r="AE10" t="str">
            <v>DelCen</v>
          </cell>
          <cell r="AF10" t="str">
            <v>Futbol - Posición: Delantero Central</v>
          </cell>
        </row>
        <row r="11">
          <cell r="AE11" t="str">
            <v>DelLat</v>
          </cell>
          <cell r="AF11" t="str">
            <v>Futbol - Posición: Delantero Lateral</v>
          </cell>
        </row>
        <row r="12">
          <cell r="AE12" t="str">
            <v>Distance running</v>
          </cell>
          <cell r="AF12" t="str">
            <v>Distance running</v>
          </cell>
        </row>
        <row r="13">
          <cell r="V13" t="str">
            <v>Baminton</v>
          </cell>
          <cell r="W13">
            <v>4.0999999999999996</v>
          </cell>
          <cell r="X13">
            <v>4.4000000000000004</v>
          </cell>
          <cell r="Y13">
            <v>2.5</v>
          </cell>
          <cell r="Z13" t="str">
            <v>Arq</v>
          </cell>
          <cell r="AA13">
            <v>2.6</v>
          </cell>
          <cell r="AB13">
            <v>5.5</v>
          </cell>
          <cell r="AC13">
            <v>1.9</v>
          </cell>
          <cell r="AE13" t="str">
            <v>Espalda 200 m</v>
          </cell>
          <cell r="AF13" t="str">
            <v>Natación - Espalda 200 m</v>
          </cell>
        </row>
        <row r="14">
          <cell r="V14" t="str">
            <v>Basquetball</v>
          </cell>
          <cell r="W14">
            <v>3.7</v>
          </cell>
          <cell r="X14">
            <v>4</v>
          </cell>
          <cell r="Y14">
            <v>2.9</v>
          </cell>
          <cell r="Z14" t="str">
            <v>Australian Rules</v>
          </cell>
          <cell r="AA14">
            <v>2.1</v>
          </cell>
          <cell r="AB14">
            <v>5.7</v>
          </cell>
          <cell r="AC14">
            <v>2.5</v>
          </cell>
          <cell r="AE14" t="str">
            <v>Espalda 50+100 m</v>
          </cell>
          <cell r="AF14" t="str">
            <v>Natación - Espalda 50+100 m</v>
          </cell>
        </row>
        <row r="15">
          <cell r="V15" t="str">
            <v>Cricket</v>
          </cell>
          <cell r="W15">
            <v>4.9000000000000004</v>
          </cell>
          <cell r="X15">
            <v>4.4000000000000004</v>
          </cell>
          <cell r="Y15">
            <v>2</v>
          </cell>
          <cell r="Z15" t="str">
            <v>Basketball</v>
          </cell>
          <cell r="AA15">
            <v>2.1</v>
          </cell>
          <cell r="AB15">
            <v>4.5</v>
          </cell>
          <cell r="AC15">
            <v>3.5</v>
          </cell>
          <cell r="AE15" t="str">
            <v>Freestyle 1500 m</v>
          </cell>
          <cell r="AF15" t="str">
            <v>Natación - Freestyle 1500 m</v>
          </cell>
        </row>
        <row r="16">
          <cell r="V16" t="str">
            <v>Espalda 200 m</v>
          </cell>
          <cell r="W16">
            <v>2.5</v>
          </cell>
          <cell r="X16">
            <v>3.7</v>
          </cell>
          <cell r="Y16">
            <v>3.1</v>
          </cell>
          <cell r="Z16" t="str">
            <v>DefCen</v>
          </cell>
          <cell r="AA16">
            <v>1.9</v>
          </cell>
          <cell r="AB16">
            <v>5.3</v>
          </cell>
          <cell r="AC16">
            <v>2.2999999999999998</v>
          </cell>
          <cell r="AE16" t="str">
            <v>Freestyle 200+400 m</v>
          </cell>
          <cell r="AF16" t="str">
            <v>Natación - Freestyle 200+400 m</v>
          </cell>
        </row>
        <row r="17">
          <cell r="V17" t="str">
            <v>Espalda 50+100 m</v>
          </cell>
          <cell r="W17">
            <v>2.6</v>
          </cell>
          <cell r="X17">
            <v>3.5</v>
          </cell>
          <cell r="Y17">
            <v>3.6</v>
          </cell>
          <cell r="Z17" t="str">
            <v>DefLat</v>
          </cell>
          <cell r="AA17">
            <v>2</v>
          </cell>
          <cell r="AB17">
            <v>5.3</v>
          </cell>
          <cell r="AC17">
            <v>2.1</v>
          </cell>
          <cell r="AE17" t="str">
            <v>Freestyle 50+100 m</v>
          </cell>
          <cell r="AF17" t="str">
            <v>Natación - Freestyle 50+100 m</v>
          </cell>
        </row>
        <row r="18">
          <cell r="V18" t="str">
            <v>Freestyle 200+400 m</v>
          </cell>
          <cell r="W18">
            <v>2.9</v>
          </cell>
          <cell r="X18">
            <v>3.7</v>
          </cell>
          <cell r="Y18">
            <v>3.2</v>
          </cell>
          <cell r="Z18" t="str">
            <v>DelCen</v>
          </cell>
          <cell r="AA18">
            <v>2.2000000000000002</v>
          </cell>
          <cell r="AB18">
            <v>5.5</v>
          </cell>
          <cell r="AC18">
            <v>1.8</v>
          </cell>
          <cell r="AE18" t="str">
            <v>Freestyle 800 m</v>
          </cell>
          <cell r="AF18" t="str">
            <v>Natación - Freestyle 800 m</v>
          </cell>
        </row>
        <row r="19">
          <cell r="V19" t="str">
            <v>Freestyle 50+100 m</v>
          </cell>
          <cell r="W19">
            <v>2.8</v>
          </cell>
          <cell r="X19">
            <v>3.7</v>
          </cell>
          <cell r="Y19">
            <v>3.2</v>
          </cell>
          <cell r="Z19" t="str">
            <v>DelLat</v>
          </cell>
          <cell r="AA19">
            <v>1.8</v>
          </cell>
          <cell r="AB19">
            <v>5.3</v>
          </cell>
          <cell r="AC19">
            <v>2.2000000000000002</v>
          </cell>
          <cell r="AE19" t="str">
            <v>Gymnastics</v>
          </cell>
          <cell r="AF19" t="str">
            <v>Gymnastics</v>
          </cell>
        </row>
        <row r="20">
          <cell r="V20" t="str">
            <v>Freestyle 800 m</v>
          </cell>
          <cell r="W20">
            <v>2.4</v>
          </cell>
          <cell r="X20">
            <v>3.8</v>
          </cell>
          <cell r="Y20">
            <v>3</v>
          </cell>
          <cell r="Z20" t="str">
            <v>Distance running</v>
          </cell>
          <cell r="AA20">
            <v>1.8</v>
          </cell>
          <cell r="AB20">
            <v>4.4000000000000004</v>
          </cell>
          <cell r="AC20">
            <v>3.7</v>
          </cell>
          <cell r="AE20" t="str">
            <v>Heavyweight</v>
          </cell>
          <cell r="AF20" t="str">
            <v>Heavyweight</v>
          </cell>
        </row>
        <row r="21">
          <cell r="V21" t="str">
            <v>Hockey</v>
          </cell>
          <cell r="W21">
            <v>3.7</v>
          </cell>
          <cell r="X21">
            <v>4.5</v>
          </cell>
          <cell r="Y21">
            <v>2.2000000000000002</v>
          </cell>
          <cell r="Z21" t="str">
            <v>Espalda 200 m</v>
          </cell>
          <cell r="AA21">
            <v>1.9</v>
          </cell>
          <cell r="AB21">
            <v>4.3</v>
          </cell>
          <cell r="AC21">
            <v>3.5</v>
          </cell>
          <cell r="AE21" t="str">
            <v>Hockey</v>
          </cell>
          <cell r="AF21" t="str">
            <v>Hockey</v>
          </cell>
        </row>
        <row r="22">
          <cell r="V22" t="str">
            <v>Lacrosse</v>
          </cell>
          <cell r="W22">
            <v>4.0999999999999996</v>
          </cell>
          <cell r="X22">
            <v>4.5</v>
          </cell>
          <cell r="Y22">
            <v>2.4</v>
          </cell>
          <cell r="Z22" t="str">
            <v>Espalda 50+100 m</v>
          </cell>
          <cell r="AA22">
            <v>1.8</v>
          </cell>
          <cell r="AB22">
            <v>5.2</v>
          </cell>
          <cell r="AC22">
            <v>3.1</v>
          </cell>
          <cell r="AE22" t="str">
            <v>Hurdies</v>
          </cell>
          <cell r="AF22" t="str">
            <v>Hurdies</v>
          </cell>
        </row>
        <row r="23">
          <cell r="V23" t="str">
            <v>Larga distancia</v>
          </cell>
          <cell r="W23">
            <v>4.4000000000000004</v>
          </cell>
          <cell r="X23">
            <v>4.7</v>
          </cell>
          <cell r="Y23">
            <v>1.7</v>
          </cell>
          <cell r="Z23" t="str">
            <v>Freestyle 1500 m</v>
          </cell>
          <cell r="AA23">
            <v>1.5</v>
          </cell>
          <cell r="AB23">
            <v>4.8</v>
          </cell>
          <cell r="AC23">
            <v>3.4</v>
          </cell>
          <cell r="AE23" t="str">
            <v>Lacrosse</v>
          </cell>
          <cell r="AF23" t="str">
            <v>Lacrosse</v>
          </cell>
        </row>
        <row r="24">
          <cell r="V24" t="str">
            <v>Mariposa 200 m</v>
          </cell>
          <cell r="W24">
            <v>3</v>
          </cell>
          <cell r="X24">
            <v>4.2</v>
          </cell>
          <cell r="Y24">
            <v>2.8</v>
          </cell>
          <cell r="Z24" t="str">
            <v>Freestyle 200+400 m</v>
          </cell>
          <cell r="AA24">
            <v>1.9</v>
          </cell>
          <cell r="AB24">
            <v>4.7</v>
          </cell>
          <cell r="AC24">
            <v>3.1</v>
          </cell>
          <cell r="AE24" t="str">
            <v>Larga distancia</v>
          </cell>
          <cell r="AF24" t="str">
            <v>Larga distancia</v>
          </cell>
        </row>
        <row r="25">
          <cell r="V25" t="str">
            <v>Mariposa 50+100 m</v>
          </cell>
          <cell r="W25">
            <v>2.8</v>
          </cell>
          <cell r="X25">
            <v>3.9</v>
          </cell>
          <cell r="Y25">
            <v>3.1</v>
          </cell>
          <cell r="Z25" t="str">
            <v>Freestyle 50+100 m</v>
          </cell>
          <cell r="AA25">
            <v>1.7</v>
          </cell>
          <cell r="AB25">
            <v>4.9000000000000004</v>
          </cell>
          <cell r="AC25">
            <v>3.2</v>
          </cell>
          <cell r="AE25" t="str">
            <v>Mariposa 200 m</v>
          </cell>
          <cell r="AF25" t="str">
            <v>Natación - Mariposa 200 m</v>
          </cell>
        </row>
        <row r="26">
          <cell r="V26" t="str">
            <v>Medley 200+400 m</v>
          </cell>
          <cell r="W26">
            <v>2.9</v>
          </cell>
          <cell r="X26">
            <v>3.7</v>
          </cell>
          <cell r="Y26">
            <v>3</v>
          </cell>
          <cell r="Z26" t="str">
            <v>Gymnastics</v>
          </cell>
          <cell r="AA26">
            <v>1.9</v>
          </cell>
          <cell r="AB26">
            <v>6.1</v>
          </cell>
          <cell r="AC26">
            <v>2.5</v>
          </cell>
          <cell r="AE26" t="str">
            <v>Mariposa 50+100 m</v>
          </cell>
          <cell r="AF26" t="str">
            <v>Natación - Mariposa 50+100 m</v>
          </cell>
        </row>
        <row r="27">
          <cell r="V27" t="str">
            <v>Netball</v>
          </cell>
          <cell r="W27">
            <v>3</v>
          </cell>
          <cell r="X27">
            <v>3.8</v>
          </cell>
          <cell r="Y27">
            <v>3.3</v>
          </cell>
          <cell r="Z27" t="str">
            <v>Heavyweight</v>
          </cell>
          <cell r="AA27">
            <v>2</v>
          </cell>
          <cell r="AB27">
            <v>5.2</v>
          </cell>
          <cell r="AC27">
            <v>3</v>
          </cell>
          <cell r="AE27" t="str">
            <v>MedDef</v>
          </cell>
          <cell r="AF27" t="str">
            <v>Futbol - Posición: Medio Defensivo</v>
          </cell>
        </row>
        <row r="28">
          <cell r="V28" t="str">
            <v>Ninguno</v>
          </cell>
          <cell r="W28">
            <v>0</v>
          </cell>
          <cell r="X28">
            <v>0</v>
          </cell>
          <cell r="Y28">
            <v>0</v>
          </cell>
          <cell r="Z28" t="str">
            <v>Hockey</v>
          </cell>
          <cell r="AA28">
            <v>2.4</v>
          </cell>
          <cell r="AB28">
            <v>5.4</v>
          </cell>
          <cell r="AC28">
            <v>2.6</v>
          </cell>
          <cell r="AE28" t="str">
            <v>Medley 200+400 m</v>
          </cell>
          <cell r="AF28" t="str">
            <v>Natación - Medley 200+400 m</v>
          </cell>
        </row>
        <row r="29">
          <cell r="V29" t="str">
            <v>Pecho 200 m</v>
          </cell>
          <cell r="W29">
            <v>2.9</v>
          </cell>
          <cell r="X29">
            <v>4.3</v>
          </cell>
          <cell r="Y29">
            <v>2.8</v>
          </cell>
          <cell r="Z29" t="str">
            <v>Hurdies</v>
          </cell>
          <cell r="AA29">
            <v>1.8</v>
          </cell>
          <cell r="AB29">
            <v>4.0999999999999996</v>
          </cell>
          <cell r="AC29">
            <v>3.9</v>
          </cell>
          <cell r="AE29" t="str">
            <v>MedOf</v>
          </cell>
          <cell r="AF29" t="str">
            <v>Futbol - Posición: Medio Ofensivo</v>
          </cell>
        </row>
        <row r="30">
          <cell r="V30" t="str">
            <v>Pecho 50+100 m</v>
          </cell>
          <cell r="W30">
            <v>2.6</v>
          </cell>
          <cell r="X30">
            <v>3.9</v>
          </cell>
          <cell r="Y30">
            <v>3.3</v>
          </cell>
          <cell r="Z30" t="str">
            <v>Larga distancia</v>
          </cell>
          <cell r="AA30">
            <v>2.5</v>
          </cell>
          <cell r="AB30">
            <v>5.3</v>
          </cell>
          <cell r="AC30">
            <v>2.2999999999999998</v>
          </cell>
          <cell r="AE30" t="str">
            <v>Netball</v>
          </cell>
          <cell r="AF30" t="str">
            <v>Netball</v>
          </cell>
        </row>
        <row r="31">
          <cell r="V31" t="str">
            <v>Soccer</v>
          </cell>
          <cell r="W31">
            <v>4.2</v>
          </cell>
          <cell r="X31">
            <v>4.5999999999999996</v>
          </cell>
          <cell r="Y31">
            <v>2.2000000000000002</v>
          </cell>
          <cell r="Z31" t="str">
            <v>Mariposa 200 m</v>
          </cell>
          <cell r="AA31">
            <v>2</v>
          </cell>
          <cell r="AB31">
            <v>5.2</v>
          </cell>
          <cell r="AC31">
            <v>2.5</v>
          </cell>
          <cell r="AE31" t="str">
            <v>Ninguno</v>
          </cell>
          <cell r="AF31" t="str">
            <v>Ninguno</v>
          </cell>
        </row>
        <row r="32">
          <cell r="V32" t="str">
            <v>Softball</v>
          </cell>
          <cell r="W32">
            <v>3.8</v>
          </cell>
          <cell r="X32">
            <v>4.3</v>
          </cell>
          <cell r="Y32">
            <v>2.7</v>
          </cell>
          <cell r="Z32" t="str">
            <v>Mariposa 50+100 m</v>
          </cell>
          <cell r="AA32">
            <v>2.1</v>
          </cell>
          <cell r="AB32">
            <v>5.5</v>
          </cell>
          <cell r="AC32">
            <v>2.5</v>
          </cell>
          <cell r="AE32" t="str">
            <v>NSW Super 12 backs</v>
          </cell>
          <cell r="AF32" t="str">
            <v>NSW Super 12 backs</v>
          </cell>
        </row>
        <row r="33">
          <cell r="V33" t="str">
            <v>Squash</v>
          </cell>
          <cell r="W33">
            <v>3.4</v>
          </cell>
          <cell r="X33">
            <v>4</v>
          </cell>
          <cell r="Y33">
            <v>2.8</v>
          </cell>
          <cell r="Z33" t="str">
            <v>MedDef</v>
          </cell>
          <cell r="AA33">
            <v>2</v>
          </cell>
          <cell r="AB33">
            <v>5</v>
          </cell>
          <cell r="AC33">
            <v>2.2999999999999998</v>
          </cell>
          <cell r="AE33" t="str">
            <v>NSW Super 12 front forwards</v>
          </cell>
          <cell r="AF33" t="str">
            <v>NSW Super 12 front forwards</v>
          </cell>
        </row>
        <row r="34">
          <cell r="V34" t="str">
            <v>Volleyball</v>
          </cell>
          <cell r="W34">
            <v>3</v>
          </cell>
          <cell r="X34">
            <v>3.5</v>
          </cell>
          <cell r="Y34">
            <v>3.5</v>
          </cell>
          <cell r="Z34" t="str">
            <v>Medley 200+400 m</v>
          </cell>
          <cell r="AA34">
            <v>1.9</v>
          </cell>
          <cell r="AB34">
            <v>4.9000000000000004</v>
          </cell>
          <cell r="AC34">
            <v>3</v>
          </cell>
          <cell r="AE34" t="str">
            <v>NSW Super 12 remaining forwards</v>
          </cell>
          <cell r="AF34" t="str">
            <v>NSW Super 12 remaining forwards</v>
          </cell>
        </row>
        <row r="35">
          <cell r="Z35" t="str">
            <v>MedOf</v>
          </cell>
          <cell r="AA35">
            <v>2.2999999999999998</v>
          </cell>
          <cell r="AB35">
            <v>5.2</v>
          </cell>
          <cell r="AC35">
            <v>2.1</v>
          </cell>
          <cell r="AE35" t="str">
            <v>Pecho 200 m</v>
          </cell>
          <cell r="AF35" t="str">
            <v>Natación - Pecho 200 m</v>
          </cell>
        </row>
        <row r="36">
          <cell r="Z36" t="str">
            <v>Ninguno</v>
          </cell>
          <cell r="AA36">
            <v>0</v>
          </cell>
          <cell r="AB36">
            <v>0</v>
          </cell>
          <cell r="AC36">
            <v>0</v>
          </cell>
          <cell r="AE36" t="str">
            <v>Pecho 50+100 m</v>
          </cell>
          <cell r="AF36" t="str">
            <v>Natación - Pecho 50+100 m</v>
          </cell>
        </row>
        <row r="37">
          <cell r="Z37" t="str">
            <v>NSW Super 12 backs</v>
          </cell>
          <cell r="AA37">
            <v>2.7</v>
          </cell>
          <cell r="AB37">
            <v>7.1</v>
          </cell>
          <cell r="AC37">
            <v>1.2</v>
          </cell>
          <cell r="AE37" t="str">
            <v>Powerlifting</v>
          </cell>
          <cell r="AF37" t="str">
            <v>Powerlifting</v>
          </cell>
        </row>
        <row r="38">
          <cell r="Z38" t="str">
            <v>NSW Super 12 front forwards</v>
          </cell>
          <cell r="AA38">
            <v>4.2</v>
          </cell>
          <cell r="AB38">
            <v>9.4</v>
          </cell>
          <cell r="AC38">
            <v>0.3</v>
          </cell>
          <cell r="AE38" t="str">
            <v>Rugby Union</v>
          </cell>
          <cell r="AF38" t="str">
            <v>Rugby Union</v>
          </cell>
        </row>
        <row r="39">
          <cell r="Z39" t="str">
            <v>NSW Super 12 remaining forwards</v>
          </cell>
          <cell r="AA39">
            <v>3.9</v>
          </cell>
          <cell r="AB39">
            <v>8.5</v>
          </cell>
          <cell r="AC39">
            <v>1</v>
          </cell>
          <cell r="AE39" t="str">
            <v>Soccer</v>
          </cell>
          <cell r="AF39" t="str">
            <v>Soccer</v>
          </cell>
        </row>
        <row r="40">
          <cell r="Z40" t="str">
            <v>Pecho 200 m</v>
          </cell>
          <cell r="AA40">
            <v>2.1</v>
          </cell>
          <cell r="AB40">
            <v>5.7</v>
          </cell>
          <cell r="AC40">
            <v>2.6</v>
          </cell>
          <cell r="AE40" t="str">
            <v>Softball</v>
          </cell>
          <cell r="AF40" t="str">
            <v>Softball</v>
          </cell>
        </row>
        <row r="41">
          <cell r="Z41" t="str">
            <v>Pecho 50+100 m</v>
          </cell>
          <cell r="AA41">
            <v>1.8</v>
          </cell>
          <cell r="AB41">
            <v>5.0999999999999996</v>
          </cell>
          <cell r="AC41">
            <v>2.9</v>
          </cell>
          <cell r="AE41" t="str">
            <v>Squash</v>
          </cell>
          <cell r="AF41" t="str">
            <v>Squash</v>
          </cell>
        </row>
        <row r="42">
          <cell r="Z42" t="str">
            <v>Powerlifting</v>
          </cell>
          <cell r="AA42">
            <v>2.7</v>
          </cell>
          <cell r="AB42">
            <v>7.9</v>
          </cell>
          <cell r="AC42">
            <v>0.6</v>
          </cell>
          <cell r="AE42" t="str">
            <v>Volleyball</v>
          </cell>
          <cell r="AF42" t="str">
            <v>Volleyball</v>
          </cell>
        </row>
        <row r="43">
          <cell r="Z43" t="str">
            <v>Rugby Union</v>
          </cell>
          <cell r="AA43">
            <v>2.7</v>
          </cell>
          <cell r="AB43">
            <v>6</v>
          </cell>
          <cell r="AC43">
            <v>2</v>
          </cell>
        </row>
        <row r="44">
          <cell r="Z44" t="str">
            <v>Squash</v>
          </cell>
          <cell r="AA44">
            <v>2.5</v>
          </cell>
          <cell r="AB44">
            <v>5.2</v>
          </cell>
          <cell r="AC44">
            <v>2.8</v>
          </cell>
        </row>
        <row r="72">
          <cell r="U72">
            <v>1</v>
          </cell>
          <cell r="V72">
            <v>0.36</v>
          </cell>
          <cell r="X72">
            <v>0.55000000000000004</v>
          </cell>
          <cell r="Z72">
            <v>0.4</v>
          </cell>
          <cell r="AB72">
            <v>0.7</v>
          </cell>
        </row>
        <row r="73">
          <cell r="U73">
            <v>2</v>
          </cell>
          <cell r="V73">
            <v>0.36</v>
          </cell>
          <cell r="W73">
            <v>0.41</v>
          </cell>
          <cell r="X73">
            <v>0.55000000000000004</v>
          </cell>
          <cell r="Y73">
            <v>0.7</v>
          </cell>
          <cell r="Z73">
            <v>0.4</v>
          </cell>
          <cell r="AA73">
            <v>0.55000000000000004</v>
          </cell>
          <cell r="AB73">
            <v>0.7</v>
          </cell>
          <cell r="AC73">
            <v>0.84</v>
          </cell>
        </row>
        <row r="74">
          <cell r="U74">
            <v>3</v>
          </cell>
          <cell r="V74">
            <v>0.42</v>
          </cell>
          <cell r="W74">
            <v>0.54</v>
          </cell>
          <cell r="X74">
            <v>0.71</v>
          </cell>
          <cell r="Y74">
            <v>0.88</v>
          </cell>
          <cell r="Z74">
            <v>0.55000000000000004</v>
          </cell>
          <cell r="AA74">
            <v>0.75</v>
          </cell>
          <cell r="AB74">
            <v>0.85</v>
          </cell>
          <cell r="AC74">
            <v>1.1000000000000001</v>
          </cell>
        </row>
        <row r="75">
          <cell r="U75">
            <v>4</v>
          </cell>
          <cell r="V75">
            <v>0.55000000000000004</v>
          </cell>
          <cell r="W75">
            <v>0.65</v>
          </cell>
          <cell r="X75">
            <v>0.89</v>
          </cell>
          <cell r="Y75">
            <v>1.06</v>
          </cell>
          <cell r="Z75">
            <v>0.75</v>
          </cell>
          <cell r="AA75">
            <v>0.95</v>
          </cell>
          <cell r="AB75">
            <v>1.1000000000000001</v>
          </cell>
          <cell r="AC75">
            <v>1.45</v>
          </cell>
        </row>
        <row r="76">
          <cell r="U76">
            <v>5</v>
          </cell>
          <cell r="V76">
            <v>0.65</v>
          </cell>
          <cell r="X76">
            <v>1.06</v>
          </cell>
          <cell r="Z76">
            <v>0.95</v>
          </cell>
          <cell r="AB76">
            <v>1.45</v>
          </cell>
        </row>
        <row r="83">
          <cell r="U83">
            <v>1</v>
          </cell>
          <cell r="V83">
            <v>4.55</v>
          </cell>
          <cell r="X83">
            <v>4.3</v>
          </cell>
          <cell r="Z83">
            <v>4.45</v>
          </cell>
          <cell r="AB83">
            <v>4.1500000000000004</v>
          </cell>
        </row>
        <row r="84">
          <cell r="U84">
            <v>2</v>
          </cell>
          <cell r="V84">
            <v>4.21</v>
          </cell>
          <cell r="W84">
            <v>4.55</v>
          </cell>
          <cell r="X84">
            <v>3.91</v>
          </cell>
          <cell r="Y84">
            <v>4.3</v>
          </cell>
          <cell r="Z84">
            <v>4.1100000000000003</v>
          </cell>
          <cell r="AA84">
            <v>4.45</v>
          </cell>
          <cell r="AB84">
            <v>3.76</v>
          </cell>
          <cell r="AC84">
            <v>4.1500000000000004</v>
          </cell>
        </row>
        <row r="85">
          <cell r="U85">
            <v>3</v>
          </cell>
          <cell r="V85">
            <v>3.8</v>
          </cell>
          <cell r="W85">
            <v>4.2</v>
          </cell>
          <cell r="X85">
            <v>3.5</v>
          </cell>
          <cell r="Y85">
            <v>3.9</v>
          </cell>
          <cell r="Z85">
            <v>3.7</v>
          </cell>
          <cell r="AA85">
            <v>4.0999999999999996</v>
          </cell>
          <cell r="AB85">
            <v>3.35</v>
          </cell>
          <cell r="AC85">
            <v>3.75</v>
          </cell>
        </row>
        <row r="86">
          <cell r="U86">
            <v>4</v>
          </cell>
          <cell r="V86">
            <v>3.5</v>
          </cell>
          <cell r="W86">
            <v>3.79</v>
          </cell>
          <cell r="X86">
            <v>3.1</v>
          </cell>
          <cell r="Y86">
            <v>3.49</v>
          </cell>
          <cell r="Z86">
            <v>3.4</v>
          </cell>
          <cell r="AA86">
            <v>3.69</v>
          </cell>
          <cell r="AB86">
            <v>2.95</v>
          </cell>
          <cell r="AC86">
            <v>3.34</v>
          </cell>
        </row>
        <row r="87">
          <cell r="U87">
            <v>5</v>
          </cell>
          <cell r="V87">
            <v>3.5</v>
          </cell>
          <cell r="X87">
            <v>3.1</v>
          </cell>
          <cell r="Z87">
            <v>3.4</v>
          </cell>
          <cell r="AB87">
            <v>2.95</v>
          </cell>
        </row>
        <row r="94">
          <cell r="U94">
            <v>1</v>
          </cell>
          <cell r="V94">
            <v>54.2</v>
          </cell>
          <cell r="X94">
            <v>47.5</v>
          </cell>
          <cell r="Z94">
            <v>50.7</v>
          </cell>
          <cell r="AB94">
            <v>45.2</v>
          </cell>
        </row>
        <row r="95">
          <cell r="U95">
            <v>2</v>
          </cell>
          <cell r="V95">
            <v>50.8</v>
          </cell>
          <cell r="W95">
            <v>54.2</v>
          </cell>
          <cell r="X95">
            <v>43.9</v>
          </cell>
          <cell r="Y95">
            <v>47.5</v>
          </cell>
          <cell r="Z95">
            <v>47.4</v>
          </cell>
          <cell r="AA95">
            <v>50.7</v>
          </cell>
          <cell r="AB95">
            <v>41</v>
          </cell>
          <cell r="AC95">
            <v>45.2</v>
          </cell>
        </row>
        <row r="96">
          <cell r="U96">
            <v>3</v>
          </cell>
          <cell r="V96">
            <v>44</v>
          </cell>
          <cell r="W96">
            <v>50.8</v>
          </cell>
          <cell r="X96">
            <v>36.4</v>
          </cell>
          <cell r="Y96">
            <v>43.8</v>
          </cell>
          <cell r="Z96">
            <v>40.5</v>
          </cell>
          <cell r="AA96">
            <v>47.3</v>
          </cell>
          <cell r="AB96">
            <v>32.299999999999997</v>
          </cell>
          <cell r="AC96">
            <v>40.9</v>
          </cell>
        </row>
        <row r="97">
          <cell r="U97">
            <v>4</v>
          </cell>
          <cell r="V97">
            <v>40.6</v>
          </cell>
          <cell r="W97">
            <v>43.9</v>
          </cell>
          <cell r="X97">
            <v>32.700000000000003</v>
          </cell>
          <cell r="Y97">
            <v>36.299999999999997</v>
          </cell>
          <cell r="Z97">
            <v>37.1</v>
          </cell>
          <cell r="AA97">
            <v>40.4</v>
          </cell>
          <cell r="AB97">
            <v>28</v>
          </cell>
          <cell r="AC97">
            <v>32.200000000000003</v>
          </cell>
        </row>
        <row r="98">
          <cell r="U98">
            <v>5</v>
          </cell>
          <cell r="V98">
            <v>40.6</v>
          </cell>
          <cell r="X98">
            <v>32.700000000000003</v>
          </cell>
          <cell r="Z98">
            <v>37.1</v>
          </cell>
          <cell r="AB98">
            <v>28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 datos brutos"/>
      <sheetName val="Presentación"/>
    </sheetNames>
    <sheetDataSet>
      <sheetData sheetId="0">
        <row r="2">
          <cell r="BD2" t="str">
            <v>Arq</v>
          </cell>
          <cell r="BE2" t="str">
            <v>Posición: Arquero</v>
          </cell>
          <cell r="BF2" t="str">
            <v>Arquero Z-Score</v>
          </cell>
        </row>
        <row r="3">
          <cell r="AH3">
            <v>1</v>
          </cell>
          <cell r="AI3">
            <v>84.59</v>
          </cell>
          <cell r="AJ3">
            <v>6.82</v>
          </cell>
          <cell r="AK3">
            <v>1</v>
          </cell>
          <cell r="AL3">
            <v>79.38</v>
          </cell>
          <cell r="AM3">
            <v>4.92</v>
          </cell>
          <cell r="AN3">
            <v>1</v>
          </cell>
          <cell r="AO3">
            <v>72.540000000000006</v>
          </cell>
          <cell r="AP3">
            <v>5.0599999999999996</v>
          </cell>
          <cell r="AQ3">
            <v>1</v>
          </cell>
          <cell r="AR3">
            <v>74.680000000000007</v>
          </cell>
          <cell r="AS3">
            <v>4.88</v>
          </cell>
          <cell r="AT3">
            <v>1</v>
          </cell>
          <cell r="AU3">
            <v>72.989999999999995</v>
          </cell>
          <cell r="AV3">
            <v>5.19</v>
          </cell>
          <cell r="AW3">
            <v>1</v>
          </cell>
          <cell r="AX3">
            <v>71.599999999999994</v>
          </cell>
          <cell r="AY3">
            <v>4.95</v>
          </cell>
          <cell r="AZ3">
            <v>1</v>
          </cell>
          <cell r="BA3">
            <v>79.91</v>
          </cell>
          <cell r="BB3">
            <v>7.32</v>
          </cell>
          <cell r="BD3" t="str">
            <v>DefCen</v>
          </cell>
          <cell r="BE3" t="str">
            <v>Posición: Defensor Central</v>
          </cell>
          <cell r="BF3" t="str">
            <v>Defensor Central Z-Score</v>
          </cell>
        </row>
        <row r="4">
          <cell r="AH4">
            <v>2</v>
          </cell>
          <cell r="AI4">
            <v>182.36</v>
          </cell>
          <cell r="AJ4">
            <v>5.0199999999999996</v>
          </cell>
          <cell r="AK4">
            <v>2</v>
          </cell>
          <cell r="AL4">
            <v>180.9</v>
          </cell>
          <cell r="AM4">
            <v>2.54</v>
          </cell>
          <cell r="AN4">
            <v>2</v>
          </cell>
          <cell r="AO4">
            <v>174.43</v>
          </cell>
          <cell r="AP4">
            <v>4.7699999999999996</v>
          </cell>
          <cell r="AQ4">
            <v>2</v>
          </cell>
          <cell r="AR4">
            <v>177.64</v>
          </cell>
          <cell r="AS4">
            <v>5.75</v>
          </cell>
          <cell r="AT4">
            <v>2</v>
          </cell>
          <cell r="AU4">
            <v>174.99</v>
          </cell>
          <cell r="AV4">
            <v>4.45</v>
          </cell>
          <cell r="AW4">
            <v>2</v>
          </cell>
          <cell r="AX4">
            <v>174.52</v>
          </cell>
          <cell r="AY4">
            <v>4.74</v>
          </cell>
          <cell r="AZ4">
            <v>2</v>
          </cell>
          <cell r="BA4">
            <v>178.82</v>
          </cell>
          <cell r="BB4">
            <v>5.46</v>
          </cell>
          <cell r="BD4" t="str">
            <v>DefLat</v>
          </cell>
          <cell r="BE4" t="str">
            <v>Posición: Defensor Lateral</v>
          </cell>
          <cell r="BF4" t="str">
            <v>Defensor Lateral Z-Score</v>
          </cell>
        </row>
        <row r="5">
          <cell r="AH5">
            <v>3</v>
          </cell>
          <cell r="AI5">
            <v>96.2</v>
          </cell>
          <cell r="AJ5">
            <v>2.95</v>
          </cell>
          <cell r="AK5">
            <v>3</v>
          </cell>
          <cell r="AL5">
            <v>94.54</v>
          </cell>
          <cell r="AM5">
            <v>1.9</v>
          </cell>
          <cell r="AN5">
            <v>3</v>
          </cell>
          <cell r="AO5">
            <v>92.16</v>
          </cell>
          <cell r="AP5">
            <v>2.2799999999999998</v>
          </cell>
          <cell r="AQ5">
            <v>3</v>
          </cell>
          <cell r="AR5">
            <v>93.7</v>
          </cell>
          <cell r="AS5">
            <v>2.2999999999999998</v>
          </cell>
          <cell r="AT5">
            <v>3</v>
          </cell>
          <cell r="AU5">
            <v>93.72</v>
          </cell>
          <cell r="AV5">
            <v>2.5499999999999998</v>
          </cell>
          <cell r="AW5">
            <v>3</v>
          </cell>
          <cell r="AX5">
            <v>92.16</v>
          </cell>
          <cell r="AY5">
            <v>3</v>
          </cell>
          <cell r="AZ5">
            <v>3</v>
          </cell>
          <cell r="BA5">
            <v>94.54</v>
          </cell>
          <cell r="BB5">
            <v>2.78</v>
          </cell>
          <cell r="BD5" t="str">
            <v>DelCen</v>
          </cell>
          <cell r="BE5" t="str">
            <v>Posición: Delantero Central</v>
          </cell>
          <cell r="BF5" t="str">
            <v>Delantero Central Z-Score</v>
          </cell>
        </row>
        <row r="6">
          <cell r="AH6">
            <v>4</v>
          </cell>
          <cell r="AI6">
            <v>189.69</v>
          </cell>
          <cell r="AJ6">
            <v>5.68</v>
          </cell>
          <cell r="AK6">
            <v>4</v>
          </cell>
          <cell r="AL6">
            <v>186.01</v>
          </cell>
          <cell r="AM6">
            <v>4.01</v>
          </cell>
          <cell r="AN6">
            <v>4</v>
          </cell>
          <cell r="AO6">
            <v>179.96</v>
          </cell>
          <cell r="AP6">
            <v>7.21</v>
          </cell>
          <cell r="AQ6">
            <v>4</v>
          </cell>
          <cell r="AR6">
            <v>182.03</v>
          </cell>
          <cell r="AS6">
            <v>7.34</v>
          </cell>
          <cell r="AT6">
            <v>4</v>
          </cell>
          <cell r="AU6">
            <v>178.52</v>
          </cell>
          <cell r="AV6">
            <v>7.49</v>
          </cell>
          <cell r="AW6">
            <v>4</v>
          </cell>
          <cell r="AX6">
            <v>179.7</v>
          </cell>
          <cell r="AY6">
            <v>6.66</v>
          </cell>
          <cell r="AZ6">
            <v>4</v>
          </cell>
          <cell r="BA6">
            <v>183.28</v>
          </cell>
          <cell r="BB6">
            <v>7.85</v>
          </cell>
          <cell r="BD6" t="str">
            <v>DelLat</v>
          </cell>
          <cell r="BE6" t="str">
            <v>Posición: Delantero Lateral</v>
          </cell>
          <cell r="BF6" t="str">
            <v>Delantero Lateral Z-Score</v>
          </cell>
        </row>
        <row r="7">
          <cell r="AH7">
            <v>5</v>
          </cell>
          <cell r="AI7">
            <v>35.22</v>
          </cell>
          <cell r="AJ7">
            <v>1.8</v>
          </cell>
          <cell r="AK7">
            <v>5</v>
          </cell>
          <cell r="AL7">
            <v>34.07</v>
          </cell>
          <cell r="AM7">
            <v>0.99</v>
          </cell>
          <cell r="AN7">
            <v>5</v>
          </cell>
          <cell r="AO7">
            <v>33.299999999999997</v>
          </cell>
          <cell r="AP7">
            <v>1.68</v>
          </cell>
          <cell r="AQ7">
            <v>5</v>
          </cell>
          <cell r="AR7">
            <v>33.76</v>
          </cell>
          <cell r="AS7">
            <v>1.56</v>
          </cell>
          <cell r="AT7">
            <v>5</v>
          </cell>
          <cell r="AU7">
            <v>33.44</v>
          </cell>
          <cell r="AV7">
            <v>1.42</v>
          </cell>
          <cell r="AW7">
            <v>5</v>
          </cell>
          <cell r="AX7">
            <v>33.25</v>
          </cell>
          <cell r="AY7">
            <v>1.24</v>
          </cell>
          <cell r="AZ7">
            <v>5</v>
          </cell>
          <cell r="BA7">
            <v>33.92</v>
          </cell>
          <cell r="BB7">
            <v>1.26</v>
          </cell>
          <cell r="BD7" t="str">
            <v>MedDef</v>
          </cell>
          <cell r="BE7" t="str">
            <v>Posición: Medio Defensivo</v>
          </cell>
          <cell r="BF7" t="str">
            <v>Medio Defensivo Z-Score</v>
          </cell>
        </row>
        <row r="8">
          <cell r="AH8">
            <v>6</v>
          </cell>
          <cell r="AI8">
            <v>27.03</v>
          </cell>
          <cell r="AJ8">
            <v>0.8</v>
          </cell>
          <cell r="AK8">
            <v>6</v>
          </cell>
          <cell r="AL8">
            <v>26.43</v>
          </cell>
          <cell r="AM8">
            <v>0.96</v>
          </cell>
          <cell r="AN8">
            <v>6</v>
          </cell>
          <cell r="AO8">
            <v>25.79</v>
          </cell>
          <cell r="AP8">
            <v>1.1499999999999999</v>
          </cell>
          <cell r="AQ8">
            <v>6</v>
          </cell>
          <cell r="AR8">
            <v>26.38</v>
          </cell>
          <cell r="AS8">
            <v>1.38</v>
          </cell>
          <cell r="AT8">
            <v>6</v>
          </cell>
          <cell r="AU8">
            <v>25.09</v>
          </cell>
          <cell r="AV8">
            <v>1.1399999999999999</v>
          </cell>
          <cell r="AW8">
            <v>6</v>
          </cell>
          <cell r="AX8">
            <v>25.58</v>
          </cell>
          <cell r="AY8">
            <v>1.38</v>
          </cell>
          <cell r="AZ8">
            <v>6</v>
          </cell>
          <cell r="BA8">
            <v>26.4</v>
          </cell>
          <cell r="BB8">
            <v>1.22</v>
          </cell>
          <cell r="BD8" t="str">
            <v>MedOf</v>
          </cell>
          <cell r="BE8" t="str">
            <v>Posición: Medio Ofensivo</v>
          </cell>
          <cell r="BF8" t="str">
            <v>Medio Ofensivo Z-Score</v>
          </cell>
        </row>
        <row r="9">
          <cell r="AH9">
            <v>7</v>
          </cell>
          <cell r="AI9">
            <v>20.38</v>
          </cell>
          <cell r="AJ9">
            <v>0.92</v>
          </cell>
          <cell r="AK9">
            <v>7</v>
          </cell>
          <cell r="AL9">
            <v>20.149999999999999</v>
          </cell>
          <cell r="AM9">
            <v>0.64</v>
          </cell>
          <cell r="AN9">
            <v>7</v>
          </cell>
          <cell r="AO9">
            <v>19.64</v>
          </cell>
          <cell r="AP9">
            <v>1.1000000000000001</v>
          </cell>
          <cell r="AQ9">
            <v>7</v>
          </cell>
          <cell r="AR9">
            <v>19.75</v>
          </cell>
          <cell r="AS9">
            <v>0.66</v>
          </cell>
          <cell r="AT9">
            <v>7</v>
          </cell>
          <cell r="AU9">
            <v>19.559999999999999</v>
          </cell>
          <cell r="AV9">
            <v>1</v>
          </cell>
          <cell r="AW9">
            <v>7</v>
          </cell>
          <cell r="AX9">
            <v>19.84</v>
          </cell>
          <cell r="AY9">
            <v>0.75</v>
          </cell>
          <cell r="AZ9">
            <v>7</v>
          </cell>
          <cell r="BA9">
            <v>19.63</v>
          </cell>
          <cell r="BB9">
            <v>1.21</v>
          </cell>
        </row>
        <row r="10">
          <cell r="AH10">
            <v>8</v>
          </cell>
          <cell r="AI10">
            <v>99.8</v>
          </cell>
          <cell r="AJ10">
            <v>3.48</v>
          </cell>
          <cell r="AK10">
            <v>8</v>
          </cell>
          <cell r="AL10">
            <v>99.87</v>
          </cell>
          <cell r="AM10">
            <v>3.57</v>
          </cell>
          <cell r="AN10">
            <v>8</v>
          </cell>
          <cell r="AO10">
            <v>94.85</v>
          </cell>
          <cell r="AP10">
            <v>4.21</v>
          </cell>
          <cell r="AQ10">
            <v>8</v>
          </cell>
          <cell r="AR10">
            <v>96.7</v>
          </cell>
          <cell r="AS10">
            <v>4.8</v>
          </cell>
          <cell r="AT10">
            <v>8</v>
          </cell>
          <cell r="AU10">
            <v>94.3</v>
          </cell>
          <cell r="AV10">
            <v>4.34</v>
          </cell>
          <cell r="AW10">
            <v>8</v>
          </cell>
          <cell r="AX10">
            <v>96.93</v>
          </cell>
          <cell r="AY10">
            <v>3.83</v>
          </cell>
          <cell r="AZ10">
            <v>8</v>
          </cell>
          <cell r="BA10">
            <v>98.3</v>
          </cell>
          <cell r="BB10">
            <v>3.87</v>
          </cell>
        </row>
        <row r="11">
          <cell r="AH11">
            <v>9</v>
          </cell>
          <cell r="AI11">
            <v>94.67</v>
          </cell>
          <cell r="AJ11">
            <v>3.87</v>
          </cell>
          <cell r="AK11">
            <v>9</v>
          </cell>
          <cell r="AL11">
            <v>93.34</v>
          </cell>
          <cell r="AM11">
            <v>2.19</v>
          </cell>
          <cell r="AN11">
            <v>9</v>
          </cell>
          <cell r="AO11">
            <v>89.98</v>
          </cell>
          <cell r="AP11">
            <v>4.1399999999999997</v>
          </cell>
          <cell r="AQ11">
            <v>9</v>
          </cell>
          <cell r="AR11">
            <v>91.81</v>
          </cell>
          <cell r="AS11">
            <v>4.79</v>
          </cell>
          <cell r="AT11">
            <v>9</v>
          </cell>
          <cell r="AU11">
            <v>89.43</v>
          </cell>
          <cell r="AV11">
            <v>3.94</v>
          </cell>
          <cell r="AW11">
            <v>9</v>
          </cell>
          <cell r="AX11">
            <v>90.35</v>
          </cell>
          <cell r="AY11">
            <v>3.61</v>
          </cell>
          <cell r="AZ11">
            <v>9</v>
          </cell>
          <cell r="BA11">
            <v>93.15</v>
          </cell>
          <cell r="BB11">
            <v>3.84</v>
          </cell>
        </row>
        <row r="12">
          <cell r="AH12">
            <v>10</v>
          </cell>
          <cell r="AI12">
            <v>46.18</v>
          </cell>
          <cell r="AJ12">
            <v>2.25</v>
          </cell>
          <cell r="AK12">
            <v>10</v>
          </cell>
          <cell r="AL12">
            <v>45.58</v>
          </cell>
          <cell r="AM12">
            <v>1.72</v>
          </cell>
          <cell r="AN12">
            <v>10</v>
          </cell>
          <cell r="AO12">
            <v>44.37</v>
          </cell>
          <cell r="AP12">
            <v>2.95</v>
          </cell>
          <cell r="AQ12">
            <v>10</v>
          </cell>
          <cell r="AR12">
            <v>45.53</v>
          </cell>
          <cell r="AS12">
            <v>2.62</v>
          </cell>
          <cell r="AT12">
            <v>10</v>
          </cell>
          <cell r="AU12">
            <v>44.15</v>
          </cell>
          <cell r="AV12">
            <v>2.81</v>
          </cell>
          <cell r="AW12">
            <v>10</v>
          </cell>
          <cell r="AX12">
            <v>44.3</v>
          </cell>
          <cell r="AY12">
            <v>2.5299999999999998</v>
          </cell>
          <cell r="AZ12">
            <v>10</v>
          </cell>
          <cell r="BA12">
            <v>45.88</v>
          </cell>
          <cell r="BB12">
            <v>2.0499999999999998</v>
          </cell>
        </row>
        <row r="13">
          <cell r="AH13">
            <v>11</v>
          </cell>
          <cell r="AI13">
            <v>48.43</v>
          </cell>
          <cell r="AJ13">
            <v>2.16</v>
          </cell>
          <cell r="AK13">
            <v>11</v>
          </cell>
          <cell r="AL13">
            <v>48.07</v>
          </cell>
          <cell r="AM13">
            <v>1.19</v>
          </cell>
          <cell r="AN13">
            <v>11</v>
          </cell>
          <cell r="AO13">
            <v>45.65</v>
          </cell>
          <cell r="AP13">
            <v>2.31</v>
          </cell>
          <cell r="AQ13">
            <v>11</v>
          </cell>
          <cell r="AR13">
            <v>46.81</v>
          </cell>
          <cell r="AS13">
            <v>2.42</v>
          </cell>
          <cell r="AT13">
            <v>11</v>
          </cell>
          <cell r="AU13">
            <v>45.96</v>
          </cell>
          <cell r="AV13">
            <v>2.77</v>
          </cell>
          <cell r="AW13">
            <v>11</v>
          </cell>
          <cell r="AX13">
            <v>46.15</v>
          </cell>
          <cell r="AY13">
            <v>2.2999999999999998</v>
          </cell>
          <cell r="AZ13">
            <v>11</v>
          </cell>
          <cell r="BA13">
            <v>47.4</v>
          </cell>
          <cell r="BB13">
            <v>2.08</v>
          </cell>
        </row>
        <row r="14">
          <cell r="AH14">
            <v>12</v>
          </cell>
          <cell r="AI14">
            <v>41.05</v>
          </cell>
          <cell r="AJ14">
            <v>1.25</v>
          </cell>
          <cell r="AK14">
            <v>12</v>
          </cell>
          <cell r="AL14">
            <v>40.840000000000003</v>
          </cell>
          <cell r="AM14">
            <v>1.44</v>
          </cell>
          <cell r="AN14">
            <v>12</v>
          </cell>
          <cell r="AO14">
            <v>38.69</v>
          </cell>
          <cell r="AP14">
            <v>1.52</v>
          </cell>
          <cell r="AQ14">
            <v>12</v>
          </cell>
          <cell r="AR14">
            <v>39.630000000000003</v>
          </cell>
          <cell r="AS14">
            <v>2.6</v>
          </cell>
          <cell r="AT14">
            <v>12</v>
          </cell>
          <cell r="AU14">
            <v>38.369999999999997</v>
          </cell>
          <cell r="AV14">
            <v>1.99</v>
          </cell>
          <cell r="AW14">
            <v>12</v>
          </cell>
          <cell r="AX14">
            <v>39.32</v>
          </cell>
          <cell r="AY14">
            <v>2.09</v>
          </cell>
          <cell r="AZ14">
            <v>12</v>
          </cell>
          <cell r="BA14">
            <v>39.72</v>
          </cell>
          <cell r="BB14">
            <v>1.71</v>
          </cell>
        </row>
        <row r="15">
          <cell r="AH15">
            <v>13</v>
          </cell>
          <cell r="AI15">
            <v>27.7</v>
          </cell>
          <cell r="AJ15">
            <v>1.07</v>
          </cell>
          <cell r="AK15">
            <v>13</v>
          </cell>
          <cell r="AL15">
            <v>27.06</v>
          </cell>
          <cell r="AM15">
            <v>0.88</v>
          </cell>
          <cell r="AN15">
            <v>13</v>
          </cell>
          <cell r="AO15">
            <v>26.5</v>
          </cell>
          <cell r="AP15">
            <v>1.05</v>
          </cell>
          <cell r="AQ15">
            <v>13</v>
          </cell>
          <cell r="AR15">
            <v>26.74</v>
          </cell>
          <cell r="AS15">
            <v>1.08</v>
          </cell>
          <cell r="AT15">
            <v>13</v>
          </cell>
          <cell r="AU15">
            <v>26.54</v>
          </cell>
          <cell r="AV15">
            <v>1.03</v>
          </cell>
          <cell r="AW15">
            <v>13</v>
          </cell>
          <cell r="AX15">
            <v>26.83</v>
          </cell>
          <cell r="AY15">
            <v>1.02</v>
          </cell>
          <cell r="AZ15">
            <v>13</v>
          </cell>
          <cell r="BA15">
            <v>26.89</v>
          </cell>
          <cell r="BB15">
            <v>0.93</v>
          </cell>
        </row>
        <row r="16">
          <cell r="AH16">
            <v>14</v>
          </cell>
          <cell r="AI16">
            <v>42.02</v>
          </cell>
          <cell r="AJ16">
            <v>1.62</v>
          </cell>
          <cell r="AK16">
            <v>14</v>
          </cell>
          <cell r="AL16">
            <v>40.99</v>
          </cell>
          <cell r="AM16">
            <v>1.7</v>
          </cell>
          <cell r="AN16">
            <v>14</v>
          </cell>
          <cell r="AO16">
            <v>39.85</v>
          </cell>
          <cell r="AP16">
            <v>2.02</v>
          </cell>
          <cell r="AQ16">
            <v>14</v>
          </cell>
          <cell r="AR16">
            <v>40.43</v>
          </cell>
          <cell r="AS16">
            <v>1.29</v>
          </cell>
          <cell r="AT16">
            <v>14</v>
          </cell>
          <cell r="AU16">
            <v>39.97</v>
          </cell>
          <cell r="AV16">
            <v>1.76</v>
          </cell>
          <cell r="AW16">
            <v>14</v>
          </cell>
          <cell r="AX16">
            <v>40.26</v>
          </cell>
          <cell r="AY16">
            <v>1.48</v>
          </cell>
          <cell r="AZ16">
            <v>14</v>
          </cell>
          <cell r="BA16">
            <v>41.42</v>
          </cell>
          <cell r="BB16">
            <v>1.73</v>
          </cell>
        </row>
        <row r="17">
          <cell r="AH17">
            <v>15</v>
          </cell>
          <cell r="AI17">
            <v>30.33</v>
          </cell>
          <cell r="AJ17">
            <v>1.94</v>
          </cell>
          <cell r="AK17">
            <v>15</v>
          </cell>
          <cell r="AL17">
            <v>29.46</v>
          </cell>
          <cell r="AM17">
            <v>1.75</v>
          </cell>
          <cell r="AN17">
            <v>15</v>
          </cell>
          <cell r="AO17">
            <v>28.76</v>
          </cell>
          <cell r="AP17">
            <v>1.9</v>
          </cell>
          <cell r="AQ17">
            <v>15</v>
          </cell>
          <cell r="AR17">
            <v>28.48</v>
          </cell>
          <cell r="AS17">
            <v>1.68</v>
          </cell>
          <cell r="AT17">
            <v>15</v>
          </cell>
          <cell r="AU17">
            <v>28.8</v>
          </cell>
          <cell r="AV17">
            <v>1.66</v>
          </cell>
          <cell r="AW17">
            <v>15</v>
          </cell>
          <cell r="AX17">
            <v>28.16</v>
          </cell>
          <cell r="AY17">
            <v>1.27</v>
          </cell>
          <cell r="AZ17">
            <v>15</v>
          </cell>
          <cell r="BA17">
            <v>30.05</v>
          </cell>
          <cell r="BB17">
            <v>2.88</v>
          </cell>
        </row>
        <row r="18">
          <cell r="AH18">
            <v>16</v>
          </cell>
          <cell r="AI18">
            <v>22.15</v>
          </cell>
          <cell r="AJ18">
            <v>1.56</v>
          </cell>
          <cell r="AK18">
            <v>16</v>
          </cell>
          <cell r="AL18">
            <v>20.92</v>
          </cell>
          <cell r="AM18">
            <v>1.33</v>
          </cell>
          <cell r="AN18">
            <v>16</v>
          </cell>
          <cell r="AO18">
            <v>20.309999999999999</v>
          </cell>
          <cell r="AP18">
            <v>1.37</v>
          </cell>
          <cell r="AQ18">
            <v>16</v>
          </cell>
          <cell r="AR18">
            <v>20.89</v>
          </cell>
          <cell r="AS18">
            <v>1.02</v>
          </cell>
          <cell r="AT18">
            <v>16</v>
          </cell>
          <cell r="AU18">
            <v>20.94</v>
          </cell>
          <cell r="AV18">
            <v>0.94</v>
          </cell>
          <cell r="AW18">
            <v>16</v>
          </cell>
          <cell r="AX18">
            <v>20.440000000000001</v>
          </cell>
          <cell r="AY18">
            <v>1.01</v>
          </cell>
          <cell r="AZ18">
            <v>16</v>
          </cell>
          <cell r="BA18">
            <v>21.38</v>
          </cell>
          <cell r="BB18">
            <v>0.96</v>
          </cell>
        </row>
        <row r="19">
          <cell r="AH19">
            <v>17</v>
          </cell>
          <cell r="AI19">
            <v>29.55</v>
          </cell>
          <cell r="AJ19">
            <v>3.22</v>
          </cell>
          <cell r="AK19">
            <v>17</v>
          </cell>
          <cell r="AL19">
            <v>28.83</v>
          </cell>
          <cell r="AM19">
            <v>1.41</v>
          </cell>
          <cell r="AN19">
            <v>17</v>
          </cell>
          <cell r="AO19">
            <v>27.87</v>
          </cell>
          <cell r="AP19">
            <v>2.56</v>
          </cell>
          <cell r="AQ19">
            <v>17</v>
          </cell>
          <cell r="AR19">
            <v>28.16</v>
          </cell>
          <cell r="AS19">
            <v>1.27</v>
          </cell>
          <cell r="AT19">
            <v>17</v>
          </cell>
          <cell r="AU19">
            <v>28.38</v>
          </cell>
          <cell r="AV19">
            <v>2.52</v>
          </cell>
          <cell r="AW19">
            <v>17</v>
          </cell>
          <cell r="AX19">
            <v>27.44</v>
          </cell>
          <cell r="AY19">
            <v>1.22</v>
          </cell>
          <cell r="AZ19">
            <v>17</v>
          </cell>
          <cell r="BA19">
            <v>27.87</v>
          </cell>
          <cell r="BB19">
            <v>1.42</v>
          </cell>
        </row>
        <row r="20">
          <cell r="AH20">
            <v>18</v>
          </cell>
          <cell r="AI20">
            <v>7.27</v>
          </cell>
          <cell r="AJ20">
            <v>0.31</v>
          </cell>
          <cell r="AK20">
            <v>18</v>
          </cell>
          <cell r="AL20">
            <v>7.34</v>
          </cell>
          <cell r="AM20">
            <v>0.27</v>
          </cell>
          <cell r="AN20">
            <v>18</v>
          </cell>
          <cell r="AO20">
            <v>7.05</v>
          </cell>
          <cell r="AP20">
            <v>0.28999999999999998</v>
          </cell>
          <cell r="AQ20">
            <v>18</v>
          </cell>
          <cell r="AR20">
            <v>7.11</v>
          </cell>
          <cell r="AS20">
            <v>0.2</v>
          </cell>
          <cell r="AT20">
            <v>18</v>
          </cell>
          <cell r="AU20">
            <v>7.12</v>
          </cell>
          <cell r="AV20">
            <v>0.33</v>
          </cell>
          <cell r="AW20">
            <v>18</v>
          </cell>
          <cell r="AX20">
            <v>7.05</v>
          </cell>
          <cell r="AY20">
            <v>0.31</v>
          </cell>
          <cell r="AZ20">
            <v>18</v>
          </cell>
          <cell r="BA20">
            <v>7.3</v>
          </cell>
          <cell r="BB20">
            <v>0.35</v>
          </cell>
        </row>
        <row r="21">
          <cell r="AH21">
            <v>19</v>
          </cell>
          <cell r="AK21">
            <v>19</v>
          </cell>
          <cell r="AN21">
            <v>19</v>
          </cell>
          <cell r="AQ21">
            <v>19</v>
          </cell>
          <cell r="AT21">
            <v>19</v>
          </cell>
          <cell r="AW21">
            <v>19</v>
          </cell>
          <cell r="AZ21">
            <v>19</v>
          </cell>
        </row>
        <row r="22">
          <cell r="AH22">
            <v>20</v>
          </cell>
          <cell r="AI22">
            <v>6.13</v>
          </cell>
          <cell r="AJ22">
            <v>0.35</v>
          </cell>
          <cell r="AK22">
            <v>20</v>
          </cell>
          <cell r="AL22">
            <v>5.99</v>
          </cell>
          <cell r="AM22">
            <v>0.23</v>
          </cell>
          <cell r="AN22">
            <v>20</v>
          </cell>
          <cell r="AO22">
            <v>5.85</v>
          </cell>
          <cell r="AP22">
            <v>0.28000000000000003</v>
          </cell>
          <cell r="AQ22">
            <v>20</v>
          </cell>
          <cell r="AR22">
            <v>5.92</v>
          </cell>
          <cell r="AS22">
            <v>0.26</v>
          </cell>
          <cell r="AT22">
            <v>20</v>
          </cell>
          <cell r="AU22">
            <v>5.81</v>
          </cell>
          <cell r="AV22">
            <v>0.35</v>
          </cell>
          <cell r="AW22">
            <v>20</v>
          </cell>
          <cell r="AX22">
            <v>5.85</v>
          </cell>
          <cell r="AY22">
            <v>0.22</v>
          </cell>
          <cell r="AZ22">
            <v>20</v>
          </cell>
          <cell r="BA22">
            <v>5.86</v>
          </cell>
          <cell r="BB22">
            <v>0.28000000000000003</v>
          </cell>
        </row>
        <row r="23">
          <cell r="AH23">
            <v>21</v>
          </cell>
          <cell r="AK23">
            <v>21</v>
          </cell>
          <cell r="AN23">
            <v>21</v>
          </cell>
          <cell r="AQ23">
            <v>21</v>
          </cell>
          <cell r="AT23">
            <v>21</v>
          </cell>
          <cell r="AW23">
            <v>21</v>
          </cell>
          <cell r="AZ23">
            <v>21</v>
          </cell>
        </row>
        <row r="24">
          <cell r="AH24">
            <v>22</v>
          </cell>
          <cell r="AI24">
            <v>8.77</v>
          </cell>
          <cell r="AJ24">
            <v>0.47</v>
          </cell>
          <cell r="AK24">
            <v>22</v>
          </cell>
          <cell r="AL24">
            <v>8.56</v>
          </cell>
          <cell r="AM24">
            <v>0.38</v>
          </cell>
          <cell r="AN24">
            <v>22</v>
          </cell>
          <cell r="AO24">
            <v>8.34</v>
          </cell>
          <cell r="AP24">
            <v>0.41</v>
          </cell>
          <cell r="AQ24">
            <v>22</v>
          </cell>
          <cell r="AR24">
            <v>8.35</v>
          </cell>
          <cell r="AS24">
            <v>0.37</v>
          </cell>
          <cell r="AT24">
            <v>22</v>
          </cell>
          <cell r="AU24">
            <v>8.24</v>
          </cell>
          <cell r="AV24">
            <v>0.26</v>
          </cell>
          <cell r="AW24">
            <v>22</v>
          </cell>
          <cell r="AX24">
            <v>8.27</v>
          </cell>
          <cell r="AY24">
            <v>0.39</v>
          </cell>
          <cell r="AZ24">
            <v>22</v>
          </cell>
          <cell r="BA24">
            <v>8.4600000000000009</v>
          </cell>
          <cell r="BB24">
            <v>0.42</v>
          </cell>
        </row>
        <row r="25">
          <cell r="AH25">
            <v>23</v>
          </cell>
          <cell r="AI25">
            <v>57.25</v>
          </cell>
          <cell r="AJ25">
            <v>1.34</v>
          </cell>
          <cell r="AK25">
            <v>23</v>
          </cell>
          <cell r="AL25">
            <v>56.88</v>
          </cell>
          <cell r="AM25">
            <v>1.27</v>
          </cell>
          <cell r="AN25">
            <v>23</v>
          </cell>
          <cell r="AO25">
            <v>55.7</v>
          </cell>
          <cell r="AP25">
            <v>1.35</v>
          </cell>
          <cell r="AQ25">
            <v>23</v>
          </cell>
          <cell r="AR25">
            <v>56.23</v>
          </cell>
          <cell r="AS25">
            <v>1.43</v>
          </cell>
          <cell r="AT25">
            <v>23</v>
          </cell>
          <cell r="AU25">
            <v>56.6</v>
          </cell>
          <cell r="AV25">
            <v>2.12</v>
          </cell>
          <cell r="AW25">
            <v>23</v>
          </cell>
          <cell r="AX25">
            <v>55.68</v>
          </cell>
          <cell r="AY25">
            <v>1.1000000000000001</v>
          </cell>
          <cell r="AZ25">
            <v>23</v>
          </cell>
          <cell r="BA25">
            <v>57.33</v>
          </cell>
          <cell r="BB25">
            <v>0.7</v>
          </cell>
        </row>
        <row r="26">
          <cell r="AH26">
            <v>24</v>
          </cell>
          <cell r="AI26">
            <v>39.83</v>
          </cell>
          <cell r="AJ26">
            <v>1.39</v>
          </cell>
          <cell r="AK26">
            <v>24</v>
          </cell>
          <cell r="AL26">
            <v>39.15</v>
          </cell>
          <cell r="AM26">
            <v>0.94</v>
          </cell>
          <cell r="AN26">
            <v>24</v>
          </cell>
          <cell r="AO26">
            <v>38.33</v>
          </cell>
          <cell r="AP26">
            <v>1.41</v>
          </cell>
          <cell r="AQ26">
            <v>24</v>
          </cell>
          <cell r="AR26">
            <v>38.53</v>
          </cell>
          <cell r="AS26">
            <v>1.86</v>
          </cell>
          <cell r="AT26">
            <v>24</v>
          </cell>
          <cell r="AU26">
            <v>38.83</v>
          </cell>
          <cell r="AV26">
            <v>1.77</v>
          </cell>
          <cell r="AW26">
            <v>24</v>
          </cell>
          <cell r="AX26">
            <v>38.299999999999997</v>
          </cell>
          <cell r="AY26">
            <v>1.65</v>
          </cell>
          <cell r="AZ26">
            <v>24</v>
          </cell>
          <cell r="BA26">
            <v>38.799999999999997</v>
          </cell>
          <cell r="BB26">
            <v>1.73</v>
          </cell>
        </row>
        <row r="27">
          <cell r="AH27">
            <v>25</v>
          </cell>
          <cell r="AI27">
            <v>31.89</v>
          </cell>
          <cell r="AJ27">
            <v>1.55</v>
          </cell>
          <cell r="AK27">
            <v>25</v>
          </cell>
          <cell r="AL27">
            <v>30.23</v>
          </cell>
          <cell r="AM27">
            <v>1.48</v>
          </cell>
          <cell r="AN27">
            <v>25</v>
          </cell>
          <cell r="AO27">
            <v>29.52</v>
          </cell>
          <cell r="AP27">
            <v>1.47</v>
          </cell>
          <cell r="AQ27">
            <v>25</v>
          </cell>
          <cell r="AR27">
            <v>29.98</v>
          </cell>
          <cell r="AS27">
            <v>1.93</v>
          </cell>
          <cell r="AT27">
            <v>25</v>
          </cell>
          <cell r="AU27">
            <v>29.58</v>
          </cell>
          <cell r="AV27">
            <v>1.43</v>
          </cell>
          <cell r="AW27">
            <v>25</v>
          </cell>
          <cell r="AX27">
            <v>29.27</v>
          </cell>
          <cell r="AY27">
            <v>1.75</v>
          </cell>
          <cell r="AZ27">
            <v>25</v>
          </cell>
          <cell r="BA27">
            <v>30.86</v>
          </cell>
          <cell r="BB27">
            <v>1.48</v>
          </cell>
        </row>
        <row r="28">
          <cell r="AH28">
            <v>26</v>
          </cell>
          <cell r="AI28">
            <v>33.93</v>
          </cell>
          <cell r="AJ28">
            <v>1.48</v>
          </cell>
          <cell r="AK28">
            <v>26</v>
          </cell>
          <cell r="AL28">
            <v>32.5</v>
          </cell>
          <cell r="AM28">
            <v>1.61</v>
          </cell>
          <cell r="AN28">
            <v>26</v>
          </cell>
          <cell r="AO28">
            <v>31.43</v>
          </cell>
          <cell r="AP28">
            <v>1.58</v>
          </cell>
          <cell r="AQ28">
            <v>26</v>
          </cell>
          <cell r="AR28">
            <v>30.88</v>
          </cell>
          <cell r="AS28">
            <v>2.35</v>
          </cell>
          <cell r="AT28">
            <v>26</v>
          </cell>
          <cell r="AU28">
            <v>31.66</v>
          </cell>
          <cell r="AV28">
            <v>1.3</v>
          </cell>
          <cell r="AW28">
            <v>26</v>
          </cell>
          <cell r="AX28">
            <v>31.18</v>
          </cell>
          <cell r="AY28">
            <v>2.06</v>
          </cell>
          <cell r="AZ28">
            <v>26</v>
          </cell>
          <cell r="BA28">
            <v>32.72</v>
          </cell>
          <cell r="BB28">
            <v>1.46</v>
          </cell>
        </row>
        <row r="29">
          <cell r="AH29">
            <v>27</v>
          </cell>
          <cell r="AI29">
            <v>28.69</v>
          </cell>
          <cell r="AJ29">
            <v>1.05</v>
          </cell>
          <cell r="AK29">
            <v>27</v>
          </cell>
          <cell r="AL29">
            <v>27.67</v>
          </cell>
          <cell r="AM29">
            <v>0.97</v>
          </cell>
          <cell r="AN29">
            <v>27</v>
          </cell>
          <cell r="AO29">
            <v>26.59</v>
          </cell>
          <cell r="AP29">
            <v>0.9</v>
          </cell>
          <cell r="AQ29">
            <v>27</v>
          </cell>
          <cell r="AR29">
            <v>26.67</v>
          </cell>
          <cell r="AS29">
            <v>0.94</v>
          </cell>
          <cell r="AT29">
            <v>27</v>
          </cell>
          <cell r="AU29">
            <v>26.42</v>
          </cell>
          <cell r="AV29">
            <v>0.89</v>
          </cell>
          <cell r="AW29">
            <v>27</v>
          </cell>
          <cell r="AX29">
            <v>26.65</v>
          </cell>
          <cell r="AY29">
            <v>1.34</v>
          </cell>
          <cell r="AZ29">
            <v>27</v>
          </cell>
          <cell r="BA29">
            <v>28.01</v>
          </cell>
          <cell r="BB29">
            <v>1.39</v>
          </cell>
        </row>
        <row r="30">
          <cell r="AH30">
            <v>28</v>
          </cell>
          <cell r="AI30">
            <v>17.96</v>
          </cell>
          <cell r="AJ30">
            <v>0.92</v>
          </cell>
          <cell r="AK30">
            <v>28</v>
          </cell>
          <cell r="AL30">
            <v>17.309999999999999</v>
          </cell>
          <cell r="AM30">
            <v>0.53</v>
          </cell>
          <cell r="AN30">
            <v>28</v>
          </cell>
          <cell r="AO30">
            <v>16.77</v>
          </cell>
          <cell r="AP30">
            <v>0.77</v>
          </cell>
          <cell r="AQ30">
            <v>28</v>
          </cell>
          <cell r="AR30">
            <v>16.93</v>
          </cell>
          <cell r="AS30">
            <v>0.65</v>
          </cell>
          <cell r="AT30">
            <v>28</v>
          </cell>
          <cell r="AU30">
            <v>16.7</v>
          </cell>
          <cell r="AV30">
            <v>0.66</v>
          </cell>
          <cell r="AW30">
            <v>28</v>
          </cell>
          <cell r="AX30">
            <v>16.68</v>
          </cell>
          <cell r="AY30">
            <v>0.54</v>
          </cell>
          <cell r="AZ30">
            <v>28</v>
          </cell>
          <cell r="BA30">
            <v>17.170000000000002</v>
          </cell>
          <cell r="BB30">
            <v>0.59</v>
          </cell>
        </row>
        <row r="31">
          <cell r="AH31">
            <v>29</v>
          </cell>
          <cell r="AI31">
            <v>103.16</v>
          </cell>
          <cell r="AJ31">
            <v>5.13</v>
          </cell>
          <cell r="AK31">
            <v>29</v>
          </cell>
          <cell r="AL31">
            <v>97.32</v>
          </cell>
          <cell r="AM31">
            <v>3.71</v>
          </cell>
          <cell r="AN31">
            <v>29</v>
          </cell>
          <cell r="AO31">
            <v>94.84</v>
          </cell>
          <cell r="AP31">
            <v>3.81</v>
          </cell>
          <cell r="AQ31">
            <v>29</v>
          </cell>
          <cell r="AR31">
            <v>94.95</v>
          </cell>
          <cell r="AS31">
            <v>3.34</v>
          </cell>
          <cell r="AT31">
            <v>29</v>
          </cell>
          <cell r="AU31">
            <v>94.98</v>
          </cell>
          <cell r="AV31">
            <v>3.68</v>
          </cell>
          <cell r="AW31">
            <v>29</v>
          </cell>
          <cell r="AX31">
            <v>94.84</v>
          </cell>
          <cell r="AY31">
            <v>2.83</v>
          </cell>
          <cell r="AZ31">
            <v>29</v>
          </cell>
          <cell r="BA31">
            <v>98.66</v>
          </cell>
          <cell r="BB31">
            <v>2.75</v>
          </cell>
        </row>
        <row r="32">
          <cell r="AH32">
            <v>30</v>
          </cell>
          <cell r="AI32">
            <v>85.25</v>
          </cell>
          <cell r="AJ32">
            <v>2.88</v>
          </cell>
          <cell r="AK32">
            <v>30</v>
          </cell>
          <cell r="AL32">
            <v>83.09</v>
          </cell>
          <cell r="AM32">
            <v>2.64</v>
          </cell>
          <cell r="AN32">
            <v>30</v>
          </cell>
          <cell r="AO32">
            <v>80.7</v>
          </cell>
          <cell r="AP32">
            <v>2.5099999999999998</v>
          </cell>
          <cell r="AQ32">
            <v>30</v>
          </cell>
          <cell r="AR32">
            <v>80.930000000000007</v>
          </cell>
          <cell r="AS32">
            <v>3.45</v>
          </cell>
          <cell r="AT32">
            <v>30</v>
          </cell>
          <cell r="AU32">
            <v>81.739999999999995</v>
          </cell>
          <cell r="AV32">
            <v>3.39</v>
          </cell>
          <cell r="AW32">
            <v>30</v>
          </cell>
          <cell r="AX32">
            <v>78.66</v>
          </cell>
          <cell r="AY32">
            <v>2.58</v>
          </cell>
          <cell r="AZ32">
            <v>30</v>
          </cell>
          <cell r="BA32">
            <v>83.46</v>
          </cell>
          <cell r="BB32">
            <v>3</v>
          </cell>
        </row>
        <row r="33">
          <cell r="AH33">
            <v>31</v>
          </cell>
          <cell r="AK33">
            <v>31</v>
          </cell>
          <cell r="AN33">
            <v>31</v>
          </cell>
          <cell r="AQ33">
            <v>31</v>
          </cell>
          <cell r="AT33">
            <v>31</v>
          </cell>
          <cell r="AW33">
            <v>31</v>
          </cell>
          <cell r="AZ33">
            <v>31</v>
          </cell>
        </row>
        <row r="34">
          <cell r="AH34">
            <v>32</v>
          </cell>
          <cell r="AI34">
            <v>101.68</v>
          </cell>
          <cell r="AJ34">
            <v>3.97</v>
          </cell>
          <cell r="AK34">
            <v>32</v>
          </cell>
          <cell r="AL34">
            <v>97.75</v>
          </cell>
          <cell r="AM34">
            <v>2.89</v>
          </cell>
          <cell r="AN34">
            <v>32</v>
          </cell>
          <cell r="AO34">
            <v>95.73</v>
          </cell>
          <cell r="AP34">
            <v>3.51</v>
          </cell>
          <cell r="AQ34">
            <v>32</v>
          </cell>
          <cell r="AR34">
            <v>96.37</v>
          </cell>
          <cell r="AS34">
            <v>3.16</v>
          </cell>
          <cell r="AT34">
            <v>32</v>
          </cell>
          <cell r="AU34">
            <v>97.49</v>
          </cell>
          <cell r="AV34">
            <v>2.64</v>
          </cell>
          <cell r="AW34">
            <v>32</v>
          </cell>
          <cell r="AX34">
            <v>94.64</v>
          </cell>
          <cell r="AY34">
            <v>2.9</v>
          </cell>
          <cell r="AZ34">
            <v>32</v>
          </cell>
          <cell r="BA34">
            <v>98.71</v>
          </cell>
          <cell r="BB34">
            <v>3.88</v>
          </cell>
        </row>
        <row r="35">
          <cell r="AH35">
            <v>33</v>
          </cell>
          <cell r="AI35">
            <v>61.49</v>
          </cell>
          <cell r="AJ35">
            <v>2.31</v>
          </cell>
          <cell r="AK35">
            <v>33</v>
          </cell>
          <cell r="AL35">
            <v>59.44</v>
          </cell>
          <cell r="AM35">
            <v>2.1</v>
          </cell>
          <cell r="AN35">
            <v>33</v>
          </cell>
          <cell r="AO35">
            <v>58.18</v>
          </cell>
          <cell r="AP35">
            <v>2.11</v>
          </cell>
          <cell r="AQ35">
            <v>33</v>
          </cell>
          <cell r="AR35">
            <v>58.63</v>
          </cell>
          <cell r="AS35">
            <v>2.14</v>
          </cell>
          <cell r="AT35">
            <v>33</v>
          </cell>
          <cell r="AU35">
            <v>58.29</v>
          </cell>
          <cell r="AV35">
            <v>2.2999999999999998</v>
          </cell>
          <cell r="AW35">
            <v>33</v>
          </cell>
          <cell r="AX35">
            <v>57.17</v>
          </cell>
          <cell r="AY35">
            <v>2.59</v>
          </cell>
          <cell r="AZ35">
            <v>33</v>
          </cell>
          <cell r="BA35">
            <v>60.87</v>
          </cell>
          <cell r="BB35">
            <v>2.78</v>
          </cell>
        </row>
        <row r="36">
          <cell r="AH36">
            <v>34</v>
          </cell>
          <cell r="AI36">
            <v>58.85</v>
          </cell>
          <cell r="AJ36">
            <v>2.2200000000000002</v>
          </cell>
          <cell r="AK36">
            <v>34</v>
          </cell>
          <cell r="AL36">
            <v>57.23</v>
          </cell>
          <cell r="AM36">
            <v>2.2599999999999998</v>
          </cell>
          <cell r="AN36">
            <v>34</v>
          </cell>
          <cell r="AO36">
            <v>56.47</v>
          </cell>
          <cell r="AP36">
            <v>1.83</v>
          </cell>
          <cell r="AQ36">
            <v>34</v>
          </cell>
          <cell r="AR36">
            <v>56.27</v>
          </cell>
          <cell r="AS36">
            <v>1.72</v>
          </cell>
          <cell r="AT36">
            <v>34</v>
          </cell>
          <cell r="AU36">
            <v>26.16</v>
          </cell>
          <cell r="AV36">
            <v>1.76</v>
          </cell>
          <cell r="AW36">
            <v>34</v>
          </cell>
          <cell r="AX36">
            <v>55.99</v>
          </cell>
          <cell r="AY36">
            <v>2.63</v>
          </cell>
          <cell r="AZ36">
            <v>34</v>
          </cell>
          <cell r="BA36">
            <v>58.99</v>
          </cell>
          <cell r="BB36">
            <v>2.77</v>
          </cell>
        </row>
        <row r="37">
          <cell r="AH37">
            <v>35</v>
          </cell>
          <cell r="AI37">
            <v>39.25</v>
          </cell>
          <cell r="AJ37">
            <v>2.17</v>
          </cell>
          <cell r="AK37">
            <v>35</v>
          </cell>
          <cell r="AL37">
            <v>38.39</v>
          </cell>
          <cell r="AM37">
            <v>2</v>
          </cell>
          <cell r="AN37">
            <v>35</v>
          </cell>
          <cell r="AO37">
            <v>37.090000000000003</v>
          </cell>
          <cell r="AP37">
            <v>2.41</v>
          </cell>
          <cell r="AQ37">
            <v>35</v>
          </cell>
          <cell r="AR37">
            <v>37.22</v>
          </cell>
          <cell r="AS37">
            <v>1.31</v>
          </cell>
          <cell r="AT37">
            <v>35</v>
          </cell>
          <cell r="AU37">
            <v>36.909999999999997</v>
          </cell>
          <cell r="AV37">
            <v>1.8</v>
          </cell>
          <cell r="AW37">
            <v>35</v>
          </cell>
          <cell r="AX37">
            <v>37.090000000000003</v>
          </cell>
          <cell r="AY37">
            <v>1.57</v>
          </cell>
          <cell r="AZ37">
            <v>35</v>
          </cell>
          <cell r="BA37">
            <v>38.26</v>
          </cell>
          <cell r="BB37">
            <v>2.21</v>
          </cell>
        </row>
        <row r="38">
          <cell r="AH38">
            <v>36</v>
          </cell>
          <cell r="AI38">
            <v>23.33</v>
          </cell>
          <cell r="AJ38">
            <v>1.1299999999999999</v>
          </cell>
          <cell r="AK38">
            <v>36</v>
          </cell>
          <cell r="AL38">
            <v>23.4</v>
          </cell>
          <cell r="AM38">
            <v>1.3</v>
          </cell>
          <cell r="AN38">
            <v>36</v>
          </cell>
          <cell r="AO38">
            <v>22.37</v>
          </cell>
          <cell r="AP38">
            <v>0.94</v>
          </cell>
          <cell r="AQ38">
            <v>36</v>
          </cell>
          <cell r="AR38">
            <v>22.46</v>
          </cell>
          <cell r="AS38">
            <v>0.92</v>
          </cell>
          <cell r="AT38">
            <v>36</v>
          </cell>
          <cell r="AU38">
            <v>22.16</v>
          </cell>
          <cell r="AV38">
            <v>1.01</v>
          </cell>
          <cell r="AW38">
            <v>36</v>
          </cell>
          <cell r="AX38">
            <v>22.15</v>
          </cell>
          <cell r="AY38">
            <v>0.79</v>
          </cell>
          <cell r="AZ38">
            <v>36</v>
          </cell>
          <cell r="BA38">
            <v>23.21</v>
          </cell>
          <cell r="BB38">
            <v>1.01</v>
          </cell>
        </row>
        <row r="39">
          <cell r="AH39">
            <v>37</v>
          </cell>
          <cell r="AI39">
            <v>9.3000000000000007</v>
          </cell>
          <cell r="AJ39">
            <v>2.02</v>
          </cell>
          <cell r="AK39">
            <v>37</v>
          </cell>
          <cell r="AL39">
            <v>6.93</v>
          </cell>
          <cell r="AM39">
            <v>1.6</v>
          </cell>
          <cell r="AN39">
            <v>37</v>
          </cell>
          <cell r="AO39">
            <v>6.75</v>
          </cell>
          <cell r="AP39">
            <v>1.69</v>
          </cell>
          <cell r="AQ39">
            <v>37</v>
          </cell>
          <cell r="AR39">
            <v>7.71</v>
          </cell>
          <cell r="AS39">
            <v>2.35</v>
          </cell>
          <cell r="AT39">
            <v>37</v>
          </cell>
          <cell r="AU39">
            <v>7.74</v>
          </cell>
          <cell r="AV39">
            <v>1.73</v>
          </cell>
          <cell r="AW39">
            <v>37</v>
          </cell>
          <cell r="AX39">
            <v>6.46</v>
          </cell>
          <cell r="AY39">
            <v>1.81</v>
          </cell>
          <cell r="AZ39">
            <v>37</v>
          </cell>
          <cell r="BA39">
            <v>8.48</v>
          </cell>
          <cell r="BB39">
            <v>1.72</v>
          </cell>
        </row>
        <row r="40">
          <cell r="AH40">
            <v>38</v>
          </cell>
          <cell r="AI40">
            <v>11.83</v>
          </cell>
          <cell r="AJ40">
            <v>3.35</v>
          </cell>
          <cell r="AK40">
            <v>38</v>
          </cell>
          <cell r="AL40">
            <v>8.99</v>
          </cell>
          <cell r="AM40">
            <v>1.4</v>
          </cell>
          <cell r="AN40">
            <v>38</v>
          </cell>
          <cell r="AO40">
            <v>9.2200000000000006</v>
          </cell>
          <cell r="AP40">
            <v>1.91</v>
          </cell>
          <cell r="AQ40">
            <v>38</v>
          </cell>
          <cell r="AR40">
            <v>9.2100000000000009</v>
          </cell>
          <cell r="AS40">
            <v>1.71</v>
          </cell>
          <cell r="AT40">
            <v>38</v>
          </cell>
          <cell r="AU40">
            <v>10.44</v>
          </cell>
          <cell r="AV40">
            <v>2.64</v>
          </cell>
          <cell r="AW40">
            <v>38</v>
          </cell>
          <cell r="AX40">
            <v>8.69</v>
          </cell>
          <cell r="AY40">
            <v>1.71</v>
          </cell>
          <cell r="AZ40">
            <v>38</v>
          </cell>
          <cell r="BA40">
            <v>9.7200000000000006</v>
          </cell>
          <cell r="BB40">
            <v>2.1800000000000002</v>
          </cell>
        </row>
        <row r="41">
          <cell r="AH41">
            <v>39</v>
          </cell>
          <cell r="AI41">
            <v>4.0199999999999996</v>
          </cell>
          <cell r="AJ41">
            <v>0.44</v>
          </cell>
          <cell r="AK41">
            <v>39</v>
          </cell>
          <cell r="AL41">
            <v>3.56</v>
          </cell>
          <cell r="AM41">
            <v>0.8</v>
          </cell>
          <cell r="AN41">
            <v>39</v>
          </cell>
          <cell r="AO41">
            <v>3.3</v>
          </cell>
          <cell r="AP41">
            <v>0.49</v>
          </cell>
          <cell r="AQ41">
            <v>39</v>
          </cell>
          <cell r="AR41">
            <v>3.52</v>
          </cell>
          <cell r="AS41">
            <v>0.69</v>
          </cell>
          <cell r="AT41">
            <v>39</v>
          </cell>
          <cell r="AU41">
            <v>3.61</v>
          </cell>
          <cell r="AV41">
            <v>0.56000000000000005</v>
          </cell>
          <cell r="AW41">
            <v>39</v>
          </cell>
          <cell r="AX41">
            <v>3.12</v>
          </cell>
          <cell r="AY41">
            <v>0.47</v>
          </cell>
          <cell r="AZ41">
            <v>39</v>
          </cell>
          <cell r="BA41">
            <v>3.6</v>
          </cell>
          <cell r="BB41">
            <v>0.49</v>
          </cell>
        </row>
        <row r="42">
          <cell r="AH42">
            <v>40</v>
          </cell>
          <cell r="AI42">
            <v>12.8</v>
          </cell>
          <cell r="AJ42">
            <v>6.2</v>
          </cell>
          <cell r="AK42">
            <v>40</v>
          </cell>
          <cell r="AL42">
            <v>9.57</v>
          </cell>
          <cell r="AM42">
            <v>2.17</v>
          </cell>
          <cell r="AN42">
            <v>40</v>
          </cell>
          <cell r="AO42">
            <v>10.07</v>
          </cell>
          <cell r="AP42">
            <v>2.59</v>
          </cell>
          <cell r="AQ42">
            <v>40</v>
          </cell>
          <cell r="AR42">
            <v>9.31</v>
          </cell>
          <cell r="AS42">
            <v>2.5099999999999998</v>
          </cell>
          <cell r="AT42">
            <v>40</v>
          </cell>
          <cell r="AU42">
            <v>11.72</v>
          </cell>
          <cell r="AV42">
            <v>2.95</v>
          </cell>
          <cell r="AW42">
            <v>40</v>
          </cell>
          <cell r="AX42">
            <v>8.2899999999999991</v>
          </cell>
          <cell r="AY42">
            <v>2.14</v>
          </cell>
          <cell r="AZ42">
            <v>40</v>
          </cell>
          <cell r="BA42">
            <v>10.75</v>
          </cell>
          <cell r="BB42">
            <v>2.46</v>
          </cell>
        </row>
        <row r="43">
          <cell r="AH43">
            <v>41</v>
          </cell>
          <cell r="AI43">
            <v>6.27</v>
          </cell>
          <cell r="AJ43">
            <v>1.87</v>
          </cell>
          <cell r="AK43">
            <v>41</v>
          </cell>
          <cell r="AL43">
            <v>5.31</v>
          </cell>
          <cell r="AM43">
            <v>1.27</v>
          </cell>
          <cell r="AN43">
            <v>41</v>
          </cell>
          <cell r="AO43">
            <v>5.16</v>
          </cell>
          <cell r="AP43">
            <v>0.98</v>
          </cell>
          <cell r="AQ43">
            <v>41</v>
          </cell>
          <cell r="AR43">
            <v>4.96</v>
          </cell>
          <cell r="AS43">
            <v>0.88</v>
          </cell>
          <cell r="AT43">
            <v>41</v>
          </cell>
          <cell r="AU43">
            <v>5.78</v>
          </cell>
          <cell r="AV43">
            <v>1.42</v>
          </cell>
          <cell r="AW43">
            <v>41</v>
          </cell>
          <cell r="AX43">
            <v>4.5599999999999996</v>
          </cell>
          <cell r="AY43">
            <v>0.95</v>
          </cell>
          <cell r="AZ43">
            <v>41</v>
          </cell>
          <cell r="BA43">
            <v>5.38</v>
          </cell>
          <cell r="BB43">
            <v>0.76</v>
          </cell>
        </row>
        <row r="44">
          <cell r="AH44">
            <v>42</v>
          </cell>
          <cell r="AI44">
            <v>13.6</v>
          </cell>
          <cell r="AJ44">
            <v>4.6399999999999997</v>
          </cell>
          <cell r="AK44">
            <v>42</v>
          </cell>
          <cell r="AL44">
            <v>10.31</v>
          </cell>
          <cell r="AM44">
            <v>3.32</v>
          </cell>
          <cell r="AN44">
            <v>42</v>
          </cell>
          <cell r="AO44">
            <v>10.8</v>
          </cell>
          <cell r="AP44">
            <v>3.86</v>
          </cell>
          <cell r="AQ44">
            <v>42</v>
          </cell>
          <cell r="AR44">
            <v>9.6199999999999992</v>
          </cell>
          <cell r="AS44">
            <v>2.4900000000000002</v>
          </cell>
          <cell r="AT44">
            <v>42</v>
          </cell>
          <cell r="AU44">
            <v>12.11</v>
          </cell>
          <cell r="AV44">
            <v>3.61</v>
          </cell>
          <cell r="AW44">
            <v>42</v>
          </cell>
          <cell r="AX44">
            <v>8.14</v>
          </cell>
          <cell r="AY44">
            <v>2.75</v>
          </cell>
          <cell r="AZ44">
            <v>42</v>
          </cell>
          <cell r="BA44">
            <v>10.5</v>
          </cell>
          <cell r="BB44">
            <v>1.38</v>
          </cell>
        </row>
        <row r="45">
          <cell r="AH45">
            <v>43</v>
          </cell>
          <cell r="AI45">
            <v>10.92</v>
          </cell>
          <cell r="AJ45">
            <v>3.2</v>
          </cell>
          <cell r="AK45">
            <v>43</v>
          </cell>
          <cell r="AL45">
            <v>7.57</v>
          </cell>
          <cell r="AM45">
            <v>1.37</v>
          </cell>
          <cell r="AN45">
            <v>43</v>
          </cell>
          <cell r="AO45">
            <v>7.45</v>
          </cell>
          <cell r="AP45">
            <v>1.47</v>
          </cell>
          <cell r="AQ45">
            <v>43</v>
          </cell>
          <cell r="AR45">
            <v>8.56</v>
          </cell>
          <cell r="AS45">
            <v>2.4300000000000002</v>
          </cell>
          <cell r="AT45">
            <v>43</v>
          </cell>
          <cell r="AU45">
            <v>9.4499999999999993</v>
          </cell>
          <cell r="AV45">
            <v>2.57</v>
          </cell>
          <cell r="AW45">
            <v>43</v>
          </cell>
          <cell r="AX45">
            <v>6.64</v>
          </cell>
          <cell r="AY45">
            <v>1.37</v>
          </cell>
          <cell r="AZ45">
            <v>43</v>
          </cell>
          <cell r="BA45">
            <v>9.5299999999999994</v>
          </cell>
          <cell r="BB45">
            <v>1.57</v>
          </cell>
        </row>
        <row r="46">
          <cell r="AH46">
            <v>44</v>
          </cell>
          <cell r="AK46">
            <v>44</v>
          </cell>
          <cell r="AN46">
            <v>44</v>
          </cell>
          <cell r="AQ46">
            <v>44</v>
          </cell>
          <cell r="AT46">
            <v>44</v>
          </cell>
          <cell r="AW46">
            <v>44</v>
          </cell>
          <cell r="AZ46">
            <v>44</v>
          </cell>
        </row>
        <row r="47">
          <cell r="AH47">
            <v>45</v>
          </cell>
          <cell r="AI47">
            <v>5.89</v>
          </cell>
          <cell r="AJ47">
            <v>1.43</v>
          </cell>
          <cell r="AK47">
            <v>45</v>
          </cell>
          <cell r="AL47">
            <v>4.5599999999999996</v>
          </cell>
          <cell r="AM47">
            <v>1.05</v>
          </cell>
          <cell r="AN47">
            <v>45</v>
          </cell>
          <cell r="AO47">
            <v>4.2</v>
          </cell>
          <cell r="AP47">
            <v>0.76</v>
          </cell>
          <cell r="AQ47">
            <v>45</v>
          </cell>
          <cell r="AR47">
            <v>4.84</v>
          </cell>
          <cell r="AS47">
            <v>1.25</v>
          </cell>
          <cell r="AT47">
            <v>45</v>
          </cell>
          <cell r="AU47">
            <v>5.08</v>
          </cell>
          <cell r="AV47">
            <v>1.52</v>
          </cell>
          <cell r="AW47">
            <v>45</v>
          </cell>
          <cell r="AX47">
            <v>4.05</v>
          </cell>
          <cell r="AY47">
            <v>1.04</v>
          </cell>
          <cell r="AZ47">
            <v>45</v>
          </cell>
          <cell r="BA47">
            <v>5.31</v>
          </cell>
          <cell r="BB47">
            <v>1.1299999999999999</v>
          </cell>
        </row>
        <row r="48">
          <cell r="AH48">
            <v>46</v>
          </cell>
          <cell r="AK48">
            <v>46</v>
          </cell>
          <cell r="AN48">
            <v>46</v>
          </cell>
          <cell r="AQ48">
            <v>46</v>
          </cell>
          <cell r="AT48">
            <v>46</v>
          </cell>
          <cell r="AW48">
            <v>46</v>
          </cell>
          <cell r="AZ48">
            <v>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zoomScale="75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B4" sqref="B4"/>
    </sheetView>
  </sheetViews>
  <sheetFormatPr baseColWidth="10" defaultColWidth="16.28515625" defaultRowHeight="15" x14ac:dyDescent="0.2"/>
  <cols>
    <col min="1" max="1" width="28.85546875" style="5" customWidth="1"/>
    <col min="2" max="2" width="18" style="3" bestFit="1" customWidth="1"/>
    <col min="3" max="16384" width="16.28515625" style="3"/>
  </cols>
  <sheetData>
    <row r="1" spans="1:12" s="6" customFormat="1" ht="20.25" x14ac:dyDescent="0.3">
      <c r="A1" s="137" t="s">
        <v>69</v>
      </c>
    </row>
    <row r="2" spans="1:12" x14ac:dyDescent="0.2">
      <c r="B2" s="173"/>
      <c r="C2" s="173"/>
      <c r="D2" s="173"/>
    </row>
    <row r="3" spans="1:12" ht="15.75" x14ac:dyDescent="0.25">
      <c r="A3" s="156" t="s">
        <v>164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15.75" x14ac:dyDescent="0.25">
      <c r="A4" s="156" t="s">
        <v>165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x14ac:dyDescent="0.2">
      <c r="A5" s="134" t="s">
        <v>107</v>
      </c>
      <c r="B5" s="131">
        <v>21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x14ac:dyDescent="0.2">
      <c r="A6" s="134" t="s">
        <v>70</v>
      </c>
      <c r="B6" s="2">
        <v>160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134" t="s">
        <v>71</v>
      </c>
      <c r="B7" s="2">
        <v>55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119" customFormat="1" ht="15.75" x14ac:dyDescent="0.25">
      <c r="A8" s="134" t="s">
        <v>72</v>
      </c>
      <c r="B8" s="153">
        <f t="shared" ref="B8:L8" si="0">B7/(B6/100*B6/100)</f>
        <v>21.484375</v>
      </c>
      <c r="C8" s="153" t="e">
        <f t="shared" si="0"/>
        <v>#DIV/0!</v>
      </c>
      <c r="D8" s="153" t="e">
        <f t="shared" si="0"/>
        <v>#DIV/0!</v>
      </c>
      <c r="E8" s="153" t="e">
        <f t="shared" si="0"/>
        <v>#DIV/0!</v>
      </c>
      <c r="F8" s="153" t="e">
        <f t="shared" si="0"/>
        <v>#DIV/0!</v>
      </c>
      <c r="G8" s="153" t="e">
        <f t="shared" si="0"/>
        <v>#DIV/0!</v>
      </c>
      <c r="H8" s="153" t="e">
        <f t="shared" si="0"/>
        <v>#DIV/0!</v>
      </c>
      <c r="I8" s="153" t="e">
        <f t="shared" si="0"/>
        <v>#DIV/0!</v>
      </c>
      <c r="J8" s="153" t="e">
        <f t="shared" si="0"/>
        <v>#DIV/0!</v>
      </c>
      <c r="K8" s="153" t="e">
        <f t="shared" si="0"/>
        <v>#DIV/0!</v>
      </c>
      <c r="L8" s="153" t="e">
        <f t="shared" si="0"/>
        <v>#DIV/0!</v>
      </c>
    </row>
    <row r="9" spans="1:12" s="119" customFormat="1" ht="15.75" x14ac:dyDescent="0.25">
      <c r="A9" s="154" t="s">
        <v>178</v>
      </c>
      <c r="B9" s="152" t="s">
        <v>179</v>
      </c>
      <c r="C9" s="152" t="s">
        <v>179</v>
      </c>
      <c r="D9" s="152" t="s">
        <v>179</v>
      </c>
      <c r="E9" s="152" t="s">
        <v>179</v>
      </c>
      <c r="F9" s="152" t="s">
        <v>179</v>
      </c>
      <c r="G9" s="152" t="s">
        <v>179</v>
      </c>
      <c r="H9" s="152" t="s">
        <v>179</v>
      </c>
      <c r="I9" s="152" t="s">
        <v>179</v>
      </c>
      <c r="J9" s="152" t="s">
        <v>179</v>
      </c>
      <c r="K9" s="152" t="s">
        <v>179</v>
      </c>
      <c r="L9" s="152" t="s">
        <v>179</v>
      </c>
    </row>
    <row r="10" spans="1:12" x14ac:dyDescent="0.2">
      <c r="A10" s="8" t="s">
        <v>119</v>
      </c>
      <c r="B10" s="7">
        <v>16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8" t="s">
        <v>120</v>
      </c>
      <c r="B11" s="7">
        <v>10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">
      <c r="A12" s="8" t="s">
        <v>157</v>
      </c>
      <c r="B12" s="7">
        <v>17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">
      <c r="A13" s="8" t="s">
        <v>121</v>
      </c>
      <c r="B13" s="7">
        <v>18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8" t="s">
        <v>122</v>
      </c>
      <c r="B14" s="7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9" t="s">
        <v>118</v>
      </c>
      <c r="B15" s="7">
        <v>13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5.75" x14ac:dyDescent="0.25">
      <c r="A16" s="150" t="s">
        <v>171</v>
      </c>
      <c r="B16" s="151" t="s">
        <v>172</v>
      </c>
      <c r="C16" s="151" t="s">
        <v>172</v>
      </c>
      <c r="D16" s="151" t="s">
        <v>172</v>
      </c>
      <c r="E16" s="151" t="s">
        <v>172</v>
      </c>
      <c r="F16" s="151" t="s">
        <v>172</v>
      </c>
      <c r="G16" s="151" t="s">
        <v>172</v>
      </c>
      <c r="H16" s="151" t="s">
        <v>172</v>
      </c>
      <c r="I16" s="151" t="s">
        <v>172</v>
      </c>
      <c r="J16" s="151" t="s">
        <v>172</v>
      </c>
      <c r="K16" s="151" t="s">
        <v>172</v>
      </c>
      <c r="L16" s="151" t="s">
        <v>172</v>
      </c>
    </row>
    <row r="17" spans="1:12" x14ac:dyDescent="0.2">
      <c r="A17" s="4" t="s">
        <v>159</v>
      </c>
      <c r="B17" s="117">
        <v>37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2">
      <c r="A18" s="4" t="s">
        <v>160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2">
      <c r="A19" s="4" t="s">
        <v>161</v>
      </c>
      <c r="B19" s="118">
        <v>24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2">
      <c r="A20" s="4" t="s">
        <v>163</v>
      </c>
      <c r="B20" s="118">
        <v>34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2">
      <c r="A21" s="4" t="s">
        <v>162</v>
      </c>
      <c r="B21" s="118">
        <v>47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2">
      <c r="A22" s="4" t="s">
        <v>123</v>
      </c>
      <c r="B22" s="117">
        <v>36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ht="15.75" x14ac:dyDescent="0.25">
      <c r="A23" s="150" t="s">
        <v>170</v>
      </c>
      <c r="B23" s="155" t="s">
        <v>180</v>
      </c>
      <c r="C23" s="155" t="s">
        <v>180</v>
      </c>
      <c r="D23" s="155" t="s">
        <v>180</v>
      </c>
      <c r="E23" s="155" t="s">
        <v>180</v>
      </c>
      <c r="F23" s="155" t="s">
        <v>180</v>
      </c>
      <c r="G23" s="155" t="s">
        <v>180</v>
      </c>
      <c r="H23" s="155" t="s">
        <v>180</v>
      </c>
      <c r="I23" s="155" t="s">
        <v>180</v>
      </c>
      <c r="J23" s="155" t="s">
        <v>180</v>
      </c>
      <c r="K23" s="155" t="s">
        <v>180</v>
      </c>
      <c r="L23" s="155" t="s">
        <v>180</v>
      </c>
    </row>
    <row r="24" spans="1:12" x14ac:dyDescent="0.2">
      <c r="A24" s="4" t="s">
        <v>116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2">
      <c r="A25" s="4" t="s">
        <v>117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ht="15.75" x14ac:dyDescent="0.25">
      <c r="A26" s="150" t="s">
        <v>171</v>
      </c>
      <c r="B26" s="151" t="s">
        <v>169</v>
      </c>
      <c r="C26" s="151" t="s">
        <v>169</v>
      </c>
      <c r="D26" s="151" t="s">
        <v>169</v>
      </c>
      <c r="E26" s="151" t="s">
        <v>169</v>
      </c>
      <c r="F26" s="151" t="s">
        <v>169</v>
      </c>
      <c r="G26" s="151" t="s">
        <v>169</v>
      </c>
      <c r="H26" s="151" t="s">
        <v>169</v>
      </c>
      <c r="I26" s="151" t="s">
        <v>169</v>
      </c>
      <c r="J26" s="151" t="s">
        <v>169</v>
      </c>
      <c r="K26" s="151" t="s">
        <v>169</v>
      </c>
      <c r="L26" s="151" t="s">
        <v>169</v>
      </c>
    </row>
    <row r="27" spans="1:12" x14ac:dyDescent="0.2">
      <c r="A27" s="4" t="s">
        <v>159</v>
      </c>
      <c r="B27" s="133">
        <f t="shared" ref="B27:L27" si="1">B17-((3.14*B10)/10)</f>
        <v>31.975999999999999</v>
      </c>
      <c r="C27" s="133">
        <f t="shared" si="1"/>
        <v>0</v>
      </c>
      <c r="D27" s="133">
        <f t="shared" si="1"/>
        <v>0</v>
      </c>
      <c r="E27" s="133">
        <f t="shared" si="1"/>
        <v>0</v>
      </c>
      <c r="F27" s="133">
        <f t="shared" si="1"/>
        <v>0</v>
      </c>
      <c r="G27" s="133">
        <f t="shared" si="1"/>
        <v>0</v>
      </c>
      <c r="H27" s="133">
        <f t="shared" si="1"/>
        <v>0</v>
      </c>
      <c r="I27" s="133">
        <f t="shared" si="1"/>
        <v>0</v>
      </c>
      <c r="J27" s="133">
        <f t="shared" si="1"/>
        <v>0</v>
      </c>
      <c r="K27" s="133">
        <f t="shared" si="1"/>
        <v>0</v>
      </c>
      <c r="L27" s="133">
        <f t="shared" si="1"/>
        <v>0</v>
      </c>
    </row>
    <row r="28" spans="1:12" x14ac:dyDescent="0.2">
      <c r="A28" s="4" t="s">
        <v>160</v>
      </c>
      <c r="B28" s="133">
        <f t="shared" ref="B28:L28" si="2">B18-((3.14*B10)/10)</f>
        <v>-5.024</v>
      </c>
      <c r="C28" s="133">
        <f t="shared" si="2"/>
        <v>0</v>
      </c>
      <c r="D28" s="133">
        <f t="shared" si="2"/>
        <v>0</v>
      </c>
      <c r="E28" s="133">
        <f t="shared" si="2"/>
        <v>0</v>
      </c>
      <c r="F28" s="133">
        <f t="shared" si="2"/>
        <v>0</v>
      </c>
      <c r="G28" s="133">
        <f t="shared" si="2"/>
        <v>0</v>
      </c>
      <c r="H28" s="133">
        <f t="shared" si="2"/>
        <v>0</v>
      </c>
      <c r="I28" s="133">
        <f t="shared" si="2"/>
        <v>0</v>
      </c>
      <c r="J28" s="133">
        <f t="shared" si="2"/>
        <v>0</v>
      </c>
      <c r="K28" s="133">
        <f t="shared" si="2"/>
        <v>0</v>
      </c>
      <c r="L28" s="133">
        <f t="shared" si="2"/>
        <v>0</v>
      </c>
    </row>
    <row r="29" spans="1:12" x14ac:dyDescent="0.2">
      <c r="A29" s="4" t="s">
        <v>161</v>
      </c>
      <c r="B29" s="133">
        <f t="shared" ref="B29:L29" si="3">B19</f>
        <v>24</v>
      </c>
      <c r="C29" s="133">
        <f t="shared" si="3"/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 t="shared" si="3"/>
        <v>0</v>
      </c>
      <c r="K29" s="133">
        <f t="shared" si="3"/>
        <v>0</v>
      </c>
      <c r="L29" s="133">
        <f t="shared" si="3"/>
        <v>0</v>
      </c>
    </row>
    <row r="30" spans="1:12" x14ac:dyDescent="0.2">
      <c r="A30" s="4" t="s">
        <v>163</v>
      </c>
      <c r="B30" s="133">
        <f t="shared" ref="B30:L30" si="4">B20-((3.14*B11)/10)</f>
        <v>30.86</v>
      </c>
      <c r="C30" s="133">
        <f t="shared" si="4"/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33">
        <f t="shared" si="4"/>
        <v>0</v>
      </c>
      <c r="K30" s="133">
        <f t="shared" si="4"/>
        <v>0</v>
      </c>
      <c r="L30" s="133">
        <f t="shared" si="4"/>
        <v>0</v>
      </c>
    </row>
    <row r="31" spans="1:12" x14ac:dyDescent="0.2">
      <c r="A31" s="4" t="s">
        <v>162</v>
      </c>
      <c r="B31" s="133">
        <f t="shared" ref="B31:L32" si="5">B21-((3.14*B14)/10)</f>
        <v>38.207999999999998</v>
      </c>
      <c r="C31" s="133">
        <f t="shared" si="5"/>
        <v>0</v>
      </c>
      <c r="D31" s="133">
        <f t="shared" si="5"/>
        <v>0</v>
      </c>
      <c r="E31" s="133">
        <f t="shared" si="5"/>
        <v>0</v>
      </c>
      <c r="F31" s="133">
        <f t="shared" si="5"/>
        <v>0</v>
      </c>
      <c r="G31" s="133">
        <f t="shared" si="5"/>
        <v>0</v>
      </c>
      <c r="H31" s="133">
        <f t="shared" si="5"/>
        <v>0</v>
      </c>
      <c r="I31" s="133">
        <f t="shared" si="5"/>
        <v>0</v>
      </c>
      <c r="J31" s="133">
        <f t="shared" si="5"/>
        <v>0</v>
      </c>
      <c r="K31" s="133">
        <f t="shared" si="5"/>
        <v>0</v>
      </c>
      <c r="L31" s="133">
        <f t="shared" si="5"/>
        <v>0</v>
      </c>
    </row>
    <row r="32" spans="1:12" x14ac:dyDescent="0.2">
      <c r="A32" s="4" t="s">
        <v>123</v>
      </c>
      <c r="B32" s="133">
        <f t="shared" si="5"/>
        <v>31.917999999999999</v>
      </c>
      <c r="C32" s="133">
        <f t="shared" si="5"/>
        <v>0</v>
      </c>
      <c r="D32" s="133">
        <f t="shared" si="5"/>
        <v>0</v>
      </c>
      <c r="E32" s="133">
        <f t="shared" si="5"/>
        <v>0</v>
      </c>
      <c r="F32" s="133">
        <f t="shared" si="5"/>
        <v>0</v>
      </c>
      <c r="G32" s="133">
        <f t="shared" si="5"/>
        <v>0</v>
      </c>
      <c r="H32" s="133">
        <f t="shared" si="5"/>
        <v>0</v>
      </c>
      <c r="I32" s="133">
        <f t="shared" si="5"/>
        <v>0</v>
      </c>
      <c r="J32" s="133">
        <f t="shared" si="5"/>
        <v>0</v>
      </c>
      <c r="K32" s="133">
        <f t="shared" si="5"/>
        <v>0</v>
      </c>
      <c r="L32" s="133">
        <f t="shared" si="5"/>
        <v>0</v>
      </c>
    </row>
    <row r="33" spans="1:12" x14ac:dyDescent="0.2">
      <c r="A33" s="4" t="s">
        <v>173</v>
      </c>
      <c r="B33" s="117">
        <f t="shared" ref="B33:L33" si="6">SUM(B27+B29+B30+B31+B32)</f>
        <v>156.96199999999999</v>
      </c>
      <c r="C33" s="117">
        <f t="shared" si="6"/>
        <v>0</v>
      </c>
      <c r="D33" s="117">
        <f t="shared" si="6"/>
        <v>0</v>
      </c>
      <c r="E33" s="117">
        <f t="shared" si="6"/>
        <v>0</v>
      </c>
      <c r="F33" s="117">
        <f t="shared" si="6"/>
        <v>0</v>
      </c>
      <c r="G33" s="117">
        <f t="shared" si="6"/>
        <v>0</v>
      </c>
      <c r="H33" s="117">
        <f t="shared" si="6"/>
        <v>0</v>
      </c>
      <c r="I33" s="117">
        <f t="shared" si="6"/>
        <v>0</v>
      </c>
      <c r="J33" s="117">
        <f t="shared" si="6"/>
        <v>0</v>
      </c>
      <c r="K33" s="117">
        <f t="shared" si="6"/>
        <v>0</v>
      </c>
      <c r="L33" s="117">
        <f t="shared" si="6"/>
        <v>0</v>
      </c>
    </row>
    <row r="34" spans="1:12" ht="15.75" thickBot="1" x14ac:dyDescent="0.25">
      <c r="A34" s="139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ht="15.75" thickBot="1" x14ac:dyDescent="0.25">
      <c r="A35" s="144" t="s">
        <v>194</v>
      </c>
      <c r="B35" s="160">
        <f>(SUM(B10:B12)*170.18)/B6</f>
        <v>45.735875000000007</v>
      </c>
      <c r="C35" s="160" t="e">
        <f t="shared" ref="C35:L35" si="7">(SUM(C10:C12)*170.18)/C6</f>
        <v>#DIV/0!</v>
      </c>
      <c r="D35" s="160" t="e">
        <f t="shared" si="7"/>
        <v>#DIV/0!</v>
      </c>
      <c r="E35" s="160" t="e">
        <f t="shared" si="7"/>
        <v>#DIV/0!</v>
      </c>
      <c r="F35" s="160" t="e">
        <f t="shared" si="7"/>
        <v>#DIV/0!</v>
      </c>
      <c r="G35" s="160" t="e">
        <f t="shared" si="7"/>
        <v>#DIV/0!</v>
      </c>
      <c r="H35" s="160" t="e">
        <f t="shared" si="7"/>
        <v>#DIV/0!</v>
      </c>
      <c r="I35" s="160" t="e">
        <f t="shared" si="7"/>
        <v>#DIV/0!</v>
      </c>
      <c r="J35" s="160" t="e">
        <f t="shared" si="7"/>
        <v>#DIV/0!</v>
      </c>
      <c r="K35" s="160" t="e">
        <f t="shared" si="7"/>
        <v>#DIV/0!</v>
      </c>
      <c r="L35" s="160" t="e">
        <f t="shared" si="7"/>
        <v>#DIV/0!</v>
      </c>
    </row>
    <row r="36" spans="1:12" ht="15.75" thickBot="1" x14ac:dyDescent="0.25">
      <c r="A36" s="144" t="s">
        <v>158</v>
      </c>
      <c r="B36" s="145">
        <f t="shared" ref="B36:L36" si="8">SUM(B10:B15)</f>
        <v>102</v>
      </c>
      <c r="C36" s="145">
        <f t="shared" si="8"/>
        <v>0</v>
      </c>
      <c r="D36" s="145">
        <f t="shared" si="8"/>
        <v>0</v>
      </c>
      <c r="E36" s="145">
        <f t="shared" si="8"/>
        <v>0</v>
      </c>
      <c r="F36" s="145">
        <f t="shared" si="8"/>
        <v>0</v>
      </c>
      <c r="G36" s="145">
        <f t="shared" si="8"/>
        <v>0</v>
      </c>
      <c r="H36" s="145">
        <f t="shared" si="8"/>
        <v>0</v>
      </c>
      <c r="I36" s="145">
        <f t="shared" si="8"/>
        <v>0</v>
      </c>
      <c r="J36" s="145">
        <f t="shared" si="8"/>
        <v>0</v>
      </c>
      <c r="K36" s="145">
        <f t="shared" si="8"/>
        <v>0</v>
      </c>
      <c r="L36" s="145">
        <f t="shared" si="8"/>
        <v>0</v>
      </c>
    </row>
    <row r="37" spans="1:12" x14ac:dyDescent="0.2">
      <c r="A37" s="146" t="s">
        <v>166</v>
      </c>
      <c r="B37" s="147">
        <f t="shared" ref="B37:L37" si="9">(B36*(170.18/B6) - 116.41)/34.79</f>
        <v>-0.22765881000287427</v>
      </c>
      <c r="C37" s="147" t="e">
        <f t="shared" si="9"/>
        <v>#DIV/0!</v>
      </c>
      <c r="D37" s="147" t="e">
        <f t="shared" si="9"/>
        <v>#DIV/0!</v>
      </c>
      <c r="E37" s="147" t="e">
        <f t="shared" si="9"/>
        <v>#DIV/0!</v>
      </c>
      <c r="F37" s="147" t="e">
        <f t="shared" si="9"/>
        <v>#DIV/0!</v>
      </c>
      <c r="G37" s="147" t="e">
        <f t="shared" si="9"/>
        <v>#DIV/0!</v>
      </c>
      <c r="H37" s="147" t="e">
        <f t="shared" si="9"/>
        <v>#DIV/0!</v>
      </c>
      <c r="I37" s="147" t="e">
        <f t="shared" si="9"/>
        <v>#DIV/0!</v>
      </c>
      <c r="J37" s="147" t="e">
        <f t="shared" si="9"/>
        <v>#DIV/0!</v>
      </c>
      <c r="K37" s="147" t="e">
        <f t="shared" si="9"/>
        <v>#DIV/0!</v>
      </c>
      <c r="L37" s="147" t="e">
        <f t="shared" si="9"/>
        <v>#DIV/0!</v>
      </c>
    </row>
    <row r="38" spans="1:12" s="163" customFormat="1" ht="15.75" x14ac:dyDescent="0.25">
      <c r="A38" s="164" t="s">
        <v>167</v>
      </c>
      <c r="B38" s="165">
        <f t="shared" ref="B38:L38" si="10">((B37*5.85)+25.6)/((170.18/B6)*(170.18/B6)*(170.18/B6))</f>
        <v>20.168420295238842</v>
      </c>
      <c r="C38" s="165" t="e">
        <f t="shared" si="10"/>
        <v>#DIV/0!</v>
      </c>
      <c r="D38" s="165" t="e">
        <f t="shared" si="10"/>
        <v>#DIV/0!</v>
      </c>
      <c r="E38" s="165" t="e">
        <f t="shared" si="10"/>
        <v>#DIV/0!</v>
      </c>
      <c r="F38" s="165" t="e">
        <f t="shared" si="10"/>
        <v>#DIV/0!</v>
      </c>
      <c r="G38" s="165" t="e">
        <f t="shared" si="10"/>
        <v>#DIV/0!</v>
      </c>
      <c r="H38" s="165" t="e">
        <f t="shared" si="10"/>
        <v>#DIV/0!</v>
      </c>
      <c r="I38" s="165" t="e">
        <f t="shared" si="10"/>
        <v>#DIV/0!</v>
      </c>
      <c r="J38" s="165" t="e">
        <f t="shared" si="10"/>
        <v>#DIV/0!</v>
      </c>
      <c r="K38" s="165" t="e">
        <f t="shared" si="10"/>
        <v>#DIV/0!</v>
      </c>
      <c r="L38" s="165" t="e">
        <f t="shared" si="10"/>
        <v>#DIV/0!</v>
      </c>
    </row>
    <row r="39" spans="1:12" s="163" customFormat="1" ht="16.5" thickBot="1" x14ac:dyDescent="0.3">
      <c r="A39" s="166" t="s">
        <v>168</v>
      </c>
      <c r="B39" s="167">
        <f t="shared" ref="B39:L39" si="11">(B38*100)/B7</f>
        <v>36.66985508225244</v>
      </c>
      <c r="C39" s="167" t="e">
        <f t="shared" si="11"/>
        <v>#DIV/0!</v>
      </c>
      <c r="D39" s="167" t="e">
        <f t="shared" si="11"/>
        <v>#DIV/0!</v>
      </c>
      <c r="E39" s="167" t="e">
        <f t="shared" si="11"/>
        <v>#DIV/0!</v>
      </c>
      <c r="F39" s="167" t="e">
        <f t="shared" si="11"/>
        <v>#DIV/0!</v>
      </c>
      <c r="G39" s="167" t="e">
        <f t="shared" si="11"/>
        <v>#DIV/0!</v>
      </c>
      <c r="H39" s="167" t="e">
        <f t="shared" si="11"/>
        <v>#DIV/0!</v>
      </c>
      <c r="I39" s="167" t="e">
        <f t="shared" si="11"/>
        <v>#DIV/0!</v>
      </c>
      <c r="J39" s="167" t="e">
        <f t="shared" si="11"/>
        <v>#DIV/0!</v>
      </c>
      <c r="K39" s="167" t="e">
        <f t="shared" si="11"/>
        <v>#DIV/0!</v>
      </c>
      <c r="L39" s="167" t="e">
        <f t="shared" si="11"/>
        <v>#DIV/0!</v>
      </c>
    </row>
    <row r="40" spans="1:12" x14ac:dyDescent="0.2">
      <c r="A40" s="148" t="s">
        <v>174</v>
      </c>
      <c r="B40" s="149">
        <f t="shared" ref="B40:L40" si="12">(B33*(170.18/B6)-207.21)/13.74</f>
        <v>-2.9302250909752563</v>
      </c>
      <c r="C40" s="149" t="e">
        <f t="shared" si="12"/>
        <v>#DIV/0!</v>
      </c>
      <c r="D40" s="149" t="e">
        <f t="shared" si="12"/>
        <v>#DIV/0!</v>
      </c>
      <c r="E40" s="149" t="e">
        <f t="shared" si="12"/>
        <v>#DIV/0!</v>
      </c>
      <c r="F40" s="149" t="e">
        <f t="shared" si="12"/>
        <v>#DIV/0!</v>
      </c>
      <c r="G40" s="149" t="e">
        <f t="shared" si="12"/>
        <v>#DIV/0!</v>
      </c>
      <c r="H40" s="149" t="e">
        <f t="shared" si="12"/>
        <v>#DIV/0!</v>
      </c>
      <c r="I40" s="149" t="e">
        <f t="shared" si="12"/>
        <v>#DIV/0!</v>
      </c>
      <c r="J40" s="149" t="e">
        <f t="shared" si="12"/>
        <v>#DIV/0!</v>
      </c>
      <c r="K40" s="149" t="e">
        <f t="shared" si="12"/>
        <v>#DIV/0!</v>
      </c>
      <c r="L40" s="149" t="e">
        <f t="shared" si="12"/>
        <v>#DIV/0!</v>
      </c>
    </row>
    <row r="41" spans="1:12" s="170" customFormat="1" ht="15.75" x14ac:dyDescent="0.25">
      <c r="A41" s="168" t="s">
        <v>175</v>
      </c>
      <c r="B41" s="169">
        <f t="shared" ref="B41:L41" si="13">((B40*5.4)+24.5)/((170.18/B6)*(170.18/B6)*(170.18/B6))</f>
        <v>7.2109619133247609</v>
      </c>
      <c r="C41" s="169" t="e">
        <f t="shared" si="13"/>
        <v>#DIV/0!</v>
      </c>
      <c r="D41" s="169" t="e">
        <f t="shared" si="13"/>
        <v>#DIV/0!</v>
      </c>
      <c r="E41" s="169" t="e">
        <f t="shared" si="13"/>
        <v>#DIV/0!</v>
      </c>
      <c r="F41" s="169" t="e">
        <f t="shared" si="13"/>
        <v>#DIV/0!</v>
      </c>
      <c r="G41" s="169" t="e">
        <f t="shared" si="13"/>
        <v>#DIV/0!</v>
      </c>
      <c r="H41" s="169" t="e">
        <f t="shared" si="13"/>
        <v>#DIV/0!</v>
      </c>
      <c r="I41" s="169" t="e">
        <f t="shared" si="13"/>
        <v>#DIV/0!</v>
      </c>
      <c r="J41" s="169" t="e">
        <f t="shared" si="13"/>
        <v>#DIV/0!</v>
      </c>
      <c r="K41" s="169" t="e">
        <f t="shared" si="13"/>
        <v>#DIV/0!</v>
      </c>
      <c r="L41" s="169" t="e">
        <f t="shared" si="13"/>
        <v>#DIV/0!</v>
      </c>
    </row>
    <row r="42" spans="1:12" s="170" customFormat="1" ht="16.5" thickBot="1" x14ac:dyDescent="0.3">
      <c r="A42" s="171" t="s">
        <v>176</v>
      </c>
      <c r="B42" s="172">
        <f t="shared" ref="B42:L42" si="14">(B41*100)/B7</f>
        <v>13.110839842408657</v>
      </c>
      <c r="C42" s="172" t="e">
        <f t="shared" si="14"/>
        <v>#DIV/0!</v>
      </c>
      <c r="D42" s="172" t="e">
        <f t="shared" si="14"/>
        <v>#DIV/0!</v>
      </c>
      <c r="E42" s="172" t="e">
        <f t="shared" si="14"/>
        <v>#DIV/0!</v>
      </c>
      <c r="F42" s="172" t="e">
        <f t="shared" si="14"/>
        <v>#DIV/0!</v>
      </c>
      <c r="G42" s="172" t="e">
        <f t="shared" si="14"/>
        <v>#DIV/0!</v>
      </c>
      <c r="H42" s="172" t="e">
        <f t="shared" si="14"/>
        <v>#DIV/0!</v>
      </c>
      <c r="I42" s="172" t="e">
        <f t="shared" si="14"/>
        <v>#DIV/0!</v>
      </c>
      <c r="J42" s="172" t="e">
        <f t="shared" si="14"/>
        <v>#DIV/0!</v>
      </c>
      <c r="K42" s="172" t="e">
        <f t="shared" si="14"/>
        <v>#DIV/0!</v>
      </c>
      <c r="L42" s="172" t="e">
        <f t="shared" si="14"/>
        <v>#DIV/0!</v>
      </c>
    </row>
    <row r="43" spans="1:12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x14ac:dyDescent="0.2">
      <c r="B44" s="162">
        <f>(-0.7182+(0.1451*B35)-(0.00068*B35^2)+(0.0000014*B35^3))</f>
        <v>4.6296082048545451</v>
      </c>
      <c r="C44" s="162" t="e">
        <f t="shared" ref="C44:L44" si="15">(-0.7182+(0.1451*C35)-(0.00068*C35^2)+(0.0000014*C35^3))</f>
        <v>#DIV/0!</v>
      </c>
      <c r="D44" s="162" t="e">
        <f t="shared" si="15"/>
        <v>#DIV/0!</v>
      </c>
      <c r="E44" s="162" t="e">
        <f t="shared" si="15"/>
        <v>#DIV/0!</v>
      </c>
      <c r="F44" s="162" t="e">
        <f t="shared" si="15"/>
        <v>#DIV/0!</v>
      </c>
      <c r="G44" s="162" t="e">
        <f t="shared" si="15"/>
        <v>#DIV/0!</v>
      </c>
      <c r="H44" s="162" t="e">
        <f t="shared" si="15"/>
        <v>#DIV/0!</v>
      </c>
      <c r="I44" s="162" t="e">
        <f t="shared" si="15"/>
        <v>#DIV/0!</v>
      </c>
      <c r="J44" s="162" t="e">
        <f t="shared" si="15"/>
        <v>#DIV/0!</v>
      </c>
      <c r="K44" s="162" t="e">
        <f t="shared" si="15"/>
        <v>#DIV/0!</v>
      </c>
      <c r="L44" s="162" t="e">
        <f t="shared" si="15"/>
        <v>#DIV/0!</v>
      </c>
    </row>
    <row r="45" spans="1:12" x14ac:dyDescent="0.2">
      <c r="A45" s="138" t="s">
        <v>124</v>
      </c>
      <c r="B45" s="161">
        <f>(-0.7182+(0.1451*B35)-(0.00068*B35^2)+(0.0000014*B35^3))</f>
        <v>4.6296082048545451</v>
      </c>
      <c r="C45" s="161" t="e">
        <f t="shared" ref="C45:L45" si="16">(-0.7182+(0.1451*C35)-(0.00068*C35^2)+(0.0000014*C35^3))</f>
        <v>#DIV/0!</v>
      </c>
      <c r="D45" s="161" t="e">
        <f t="shared" si="16"/>
        <v>#DIV/0!</v>
      </c>
      <c r="E45" s="161" t="e">
        <f t="shared" si="16"/>
        <v>#DIV/0!</v>
      </c>
      <c r="F45" s="161" t="e">
        <f t="shared" si="16"/>
        <v>#DIV/0!</v>
      </c>
      <c r="G45" s="161" t="e">
        <f t="shared" si="16"/>
        <v>#DIV/0!</v>
      </c>
      <c r="H45" s="161" t="e">
        <f t="shared" si="16"/>
        <v>#DIV/0!</v>
      </c>
      <c r="I45" s="161" t="e">
        <f t="shared" si="16"/>
        <v>#DIV/0!</v>
      </c>
      <c r="J45" s="161" t="e">
        <f t="shared" si="16"/>
        <v>#DIV/0!</v>
      </c>
      <c r="K45" s="161" t="e">
        <f t="shared" si="16"/>
        <v>#DIV/0!</v>
      </c>
      <c r="L45" s="161" t="e">
        <f t="shared" si="16"/>
        <v>#DIV/0!</v>
      </c>
    </row>
    <row r="46" spans="1:12" x14ac:dyDescent="0.2">
      <c r="A46" s="138" t="s">
        <v>125</v>
      </c>
      <c r="B46" s="161">
        <f>(0.858*B24)+(0.601*B25)+(0.188*(B18-(B10/10)))+(0.161*(B22-(B15/10)))-(0.131*B6)+4.5</f>
        <v>-11.174099999999999</v>
      </c>
      <c r="C46" s="161">
        <f t="shared" ref="C46:L46" si="17">(0.858*C24)+(0.601*C25)+(0.188*(C18-(C10/10)))+(0.161*(C22-(C15/10)))-(0.131*C6)+4.5</f>
        <v>4.5</v>
      </c>
      <c r="D46" s="161">
        <f t="shared" si="17"/>
        <v>4.5</v>
      </c>
      <c r="E46" s="161">
        <f t="shared" si="17"/>
        <v>4.5</v>
      </c>
      <c r="F46" s="161">
        <f t="shared" si="17"/>
        <v>4.5</v>
      </c>
      <c r="G46" s="161">
        <f t="shared" si="17"/>
        <v>4.5</v>
      </c>
      <c r="H46" s="161">
        <f t="shared" si="17"/>
        <v>4.5</v>
      </c>
      <c r="I46" s="161">
        <f t="shared" si="17"/>
        <v>4.5</v>
      </c>
      <c r="J46" s="161">
        <f t="shared" si="17"/>
        <v>4.5</v>
      </c>
      <c r="K46" s="161">
        <f t="shared" si="17"/>
        <v>4.5</v>
      </c>
      <c r="L46" s="161">
        <f t="shared" si="17"/>
        <v>4.5</v>
      </c>
    </row>
    <row r="47" spans="1:12" x14ac:dyDescent="0.2">
      <c r="A47" s="138" t="s">
        <v>126</v>
      </c>
      <c r="B47" s="161">
        <f t="shared" ref="B47:L47" si="18">IF(B48&gt;=40.75,0.732*B48-28.58,0.463*B48-17.63)</f>
        <v>2.2582899951751827</v>
      </c>
      <c r="C47" s="161" t="e">
        <f t="shared" si="18"/>
        <v>#DIV/0!</v>
      </c>
      <c r="D47" s="161" t="e">
        <f t="shared" si="18"/>
        <v>#DIV/0!</v>
      </c>
      <c r="E47" s="161" t="e">
        <f t="shared" si="18"/>
        <v>#DIV/0!</v>
      </c>
      <c r="F47" s="161" t="e">
        <f t="shared" si="18"/>
        <v>#DIV/0!</v>
      </c>
      <c r="G47" s="161" t="e">
        <f t="shared" si="18"/>
        <v>#DIV/0!</v>
      </c>
      <c r="H47" s="161" t="e">
        <f t="shared" si="18"/>
        <v>#DIV/0!</v>
      </c>
      <c r="I47" s="161" t="e">
        <f t="shared" si="18"/>
        <v>#DIV/0!</v>
      </c>
      <c r="J47" s="161" t="e">
        <f t="shared" si="18"/>
        <v>#DIV/0!</v>
      </c>
      <c r="K47" s="161" t="e">
        <f t="shared" si="18"/>
        <v>#DIV/0!</v>
      </c>
      <c r="L47" s="161" t="e">
        <f t="shared" si="18"/>
        <v>#DIV/0!</v>
      </c>
    </row>
    <row r="48" spans="1:12" x14ac:dyDescent="0.2">
      <c r="A48" s="138" t="s">
        <v>177</v>
      </c>
      <c r="B48" s="143">
        <f t="shared" ref="B48:L48" si="19">B6/(B7^0.333)</f>
        <v>42.128811468818554</v>
      </c>
      <c r="C48" s="143" t="e">
        <f t="shared" si="19"/>
        <v>#DIV/0!</v>
      </c>
      <c r="D48" s="143" t="e">
        <f t="shared" si="19"/>
        <v>#DIV/0!</v>
      </c>
      <c r="E48" s="143" t="e">
        <f t="shared" si="19"/>
        <v>#DIV/0!</v>
      </c>
      <c r="F48" s="143" t="e">
        <f t="shared" si="19"/>
        <v>#DIV/0!</v>
      </c>
      <c r="G48" s="143" t="e">
        <f t="shared" si="19"/>
        <v>#DIV/0!</v>
      </c>
      <c r="H48" s="143" t="e">
        <f t="shared" si="19"/>
        <v>#DIV/0!</v>
      </c>
      <c r="I48" s="143" t="e">
        <f t="shared" si="19"/>
        <v>#DIV/0!</v>
      </c>
      <c r="J48" s="143" t="e">
        <f t="shared" si="19"/>
        <v>#DIV/0!</v>
      </c>
      <c r="K48" s="143" t="e">
        <f t="shared" si="19"/>
        <v>#DIV/0!</v>
      </c>
      <c r="L48" s="143" t="e">
        <f t="shared" si="19"/>
        <v>#DIV/0!</v>
      </c>
    </row>
    <row r="49" spans="1:12" x14ac:dyDescent="0.2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</row>
    <row r="50" spans="1:12" x14ac:dyDescent="0.2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</row>
    <row r="51" spans="1:12" ht="15.75" x14ac:dyDescent="0.25">
      <c r="A51" s="1" t="s">
        <v>127</v>
      </c>
      <c r="B51" s="159">
        <f t="shared" ref="B51:L51" si="20">B47-B45</f>
        <v>-2.3713182096793624</v>
      </c>
      <c r="C51" s="159" t="e">
        <f t="shared" si="20"/>
        <v>#DIV/0!</v>
      </c>
      <c r="D51" s="159" t="e">
        <f t="shared" si="20"/>
        <v>#DIV/0!</v>
      </c>
      <c r="E51" s="159" t="e">
        <f t="shared" si="20"/>
        <v>#DIV/0!</v>
      </c>
      <c r="F51" s="159" t="e">
        <f t="shared" si="20"/>
        <v>#DIV/0!</v>
      </c>
      <c r="G51" s="159" t="e">
        <f t="shared" si="20"/>
        <v>#DIV/0!</v>
      </c>
      <c r="H51" s="159" t="e">
        <f t="shared" si="20"/>
        <v>#DIV/0!</v>
      </c>
      <c r="I51" s="159" t="e">
        <f t="shared" si="20"/>
        <v>#DIV/0!</v>
      </c>
      <c r="J51" s="159" t="e">
        <f t="shared" si="20"/>
        <v>#DIV/0!</v>
      </c>
      <c r="K51" s="159" t="e">
        <f t="shared" si="20"/>
        <v>#DIV/0!</v>
      </c>
      <c r="L51" s="159" t="e">
        <f t="shared" si="20"/>
        <v>#DIV/0!</v>
      </c>
    </row>
    <row r="52" spans="1:12" ht="15.75" x14ac:dyDescent="0.25">
      <c r="A52" s="1" t="s">
        <v>128</v>
      </c>
      <c r="B52" s="159">
        <f t="shared" ref="B52:L52" si="21">2*B46-(B47+B45)</f>
        <v>-29.236098200029726</v>
      </c>
      <c r="C52" s="159" t="e">
        <f t="shared" si="21"/>
        <v>#DIV/0!</v>
      </c>
      <c r="D52" s="159" t="e">
        <f t="shared" si="21"/>
        <v>#DIV/0!</v>
      </c>
      <c r="E52" s="159" t="e">
        <f t="shared" si="21"/>
        <v>#DIV/0!</v>
      </c>
      <c r="F52" s="159" t="e">
        <f t="shared" si="21"/>
        <v>#DIV/0!</v>
      </c>
      <c r="G52" s="159" t="e">
        <f t="shared" si="21"/>
        <v>#DIV/0!</v>
      </c>
      <c r="H52" s="159" t="e">
        <f t="shared" si="21"/>
        <v>#DIV/0!</v>
      </c>
      <c r="I52" s="159" t="e">
        <f t="shared" si="21"/>
        <v>#DIV/0!</v>
      </c>
      <c r="J52" s="159" t="e">
        <f t="shared" si="21"/>
        <v>#DIV/0!</v>
      </c>
      <c r="K52" s="159" t="e">
        <f t="shared" si="21"/>
        <v>#DIV/0!</v>
      </c>
      <c r="L52" s="159" t="e">
        <f t="shared" si="21"/>
        <v>#DIV/0!</v>
      </c>
    </row>
    <row r="53" spans="1:12" ht="15.75" thickBot="1" x14ac:dyDescent="0.25"/>
    <row r="54" spans="1:12" ht="15.75" thickBot="1" x14ac:dyDescent="0.25">
      <c r="A54" s="136" t="s">
        <v>152</v>
      </c>
    </row>
    <row r="55" spans="1:12" x14ac:dyDescent="0.2">
      <c r="A55" s="127" t="s">
        <v>124</v>
      </c>
    </row>
    <row r="56" spans="1:12" x14ac:dyDescent="0.2">
      <c r="A56" s="128" t="s">
        <v>125</v>
      </c>
    </row>
    <row r="57" spans="1:12" x14ac:dyDescent="0.2">
      <c r="A57" s="128" t="s">
        <v>126</v>
      </c>
    </row>
    <row r="58" spans="1:12" x14ac:dyDescent="0.2">
      <c r="A58" s="128" t="s">
        <v>127</v>
      </c>
    </row>
    <row r="59" spans="1:12" ht="15.75" thickBot="1" x14ac:dyDescent="0.25">
      <c r="A59" s="129" t="s">
        <v>128</v>
      </c>
    </row>
    <row r="60" spans="1:12" ht="15.75" thickBot="1" x14ac:dyDescent="0.25">
      <c r="A60" s="135" t="s">
        <v>153</v>
      </c>
    </row>
  </sheetData>
  <phoneticPr fontId="46" type="noConversion"/>
  <pageMargins left="0.75" right="0.75" top="1" bottom="1" header="0" footer="0"/>
  <pageSetup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0"/>
  <sheetViews>
    <sheetView showGridLines="0" tabSelected="1" zoomScale="75" workbookViewId="0">
      <selection activeCell="M3" sqref="M3"/>
    </sheetView>
  </sheetViews>
  <sheetFormatPr baseColWidth="10" defaultColWidth="11.42578125" defaultRowHeight="12.75" x14ac:dyDescent="0.2"/>
  <cols>
    <col min="1" max="1" width="39.7109375" style="26" customWidth="1"/>
    <col min="2" max="2" width="11" style="26" customWidth="1"/>
    <col min="3" max="3" width="16.140625" style="26" customWidth="1"/>
    <col min="4" max="4" width="23.140625" style="26" customWidth="1"/>
    <col min="5" max="5" width="21" style="27" customWidth="1"/>
    <col min="6" max="6" width="15.28515625" style="26" customWidth="1"/>
    <col min="7" max="7" width="13.5703125" style="26" customWidth="1"/>
    <col min="8" max="8" width="12" style="26" customWidth="1"/>
    <col min="9" max="9" width="14.42578125" style="26" customWidth="1"/>
    <col min="10" max="10" width="13.5703125" style="26" customWidth="1"/>
    <col min="11" max="11" width="12.85546875" style="26" customWidth="1"/>
    <col min="12" max="12" width="12" style="26" bestFit="1" customWidth="1"/>
    <col min="13" max="13" width="21" style="26" customWidth="1"/>
    <col min="14" max="14" width="7.42578125" style="26" customWidth="1"/>
    <col min="15" max="15" width="11.42578125" style="26"/>
    <col min="16" max="16" width="9" style="26" customWidth="1"/>
    <col min="17" max="16384" width="11.42578125" style="26"/>
  </cols>
  <sheetData>
    <row r="1" spans="1:11" ht="22.5" customHeight="1" x14ac:dyDescent="0.35">
      <c r="A1" s="28" t="s">
        <v>108</v>
      </c>
    </row>
    <row r="2" spans="1:11" ht="15.75" x14ac:dyDescent="0.25">
      <c r="B2" s="43" t="s">
        <v>0</v>
      </c>
      <c r="C2" s="44"/>
      <c r="F2" s="42" t="s">
        <v>4</v>
      </c>
    </row>
    <row r="3" spans="1:11" s="12" customFormat="1" ht="15" customHeight="1" x14ac:dyDescent="0.25">
      <c r="B3" s="42" t="s">
        <v>1</v>
      </c>
      <c r="C3" s="42" t="s">
        <v>2</v>
      </c>
      <c r="D3" s="42" t="s">
        <v>3</v>
      </c>
      <c r="F3" s="42" t="s">
        <v>5</v>
      </c>
      <c r="G3" s="42" t="s">
        <v>6</v>
      </c>
      <c r="I3" s="11"/>
      <c r="J3" s="11"/>
    </row>
    <row r="4" spans="1:11" s="12" customFormat="1" ht="15" customHeight="1" x14ac:dyDescent="0.25">
      <c r="B4" s="29">
        <v>80</v>
      </c>
      <c r="C4" s="29">
        <v>162</v>
      </c>
      <c r="D4" s="132">
        <v>15</v>
      </c>
      <c r="E4" s="13"/>
      <c r="F4" s="30">
        <f>66+13.7*B4+5*C4-6.8*D4</f>
        <v>1870</v>
      </c>
      <c r="G4" s="30">
        <f>655+9.6*B4+1.8*C4-4.6*D4</f>
        <v>1645.6</v>
      </c>
      <c r="I4" s="13"/>
      <c r="J4" s="13"/>
    </row>
    <row r="5" spans="1:11" s="12" customFormat="1" ht="15" customHeight="1" x14ac:dyDescent="0.2">
      <c r="B5" s="13"/>
      <c r="C5" s="13"/>
      <c r="D5" s="13"/>
      <c r="E5" s="13"/>
      <c r="F5" s="13"/>
      <c r="G5" s="13"/>
      <c r="H5" s="13"/>
      <c r="I5" s="13"/>
      <c r="J5" s="13"/>
    </row>
    <row r="6" spans="1:11" s="12" customFormat="1" ht="15" customHeight="1" x14ac:dyDescent="0.2">
      <c r="B6" s="13"/>
      <c r="C6" s="13"/>
      <c r="D6" s="13"/>
      <c r="E6" s="13"/>
      <c r="F6" s="13"/>
      <c r="G6" s="13"/>
      <c r="H6" s="13"/>
      <c r="I6" s="13"/>
      <c r="J6" s="13"/>
    </row>
    <row r="7" spans="1:11" s="13" customFormat="1" ht="16.5" customHeight="1" x14ac:dyDescent="0.2"/>
    <row r="8" spans="1:11" s="12" customFormat="1" ht="20.25" customHeight="1" x14ac:dyDescent="0.4">
      <c r="A8" s="35" t="s">
        <v>11</v>
      </c>
      <c r="B8" s="42" t="s">
        <v>7</v>
      </c>
      <c r="C8" s="42" t="s">
        <v>8</v>
      </c>
      <c r="D8" s="42" t="s">
        <v>9</v>
      </c>
      <c r="E8" s="42" t="s">
        <v>10</v>
      </c>
      <c r="F8" s="13"/>
      <c r="G8" s="15"/>
      <c r="H8" s="13"/>
      <c r="I8" s="13"/>
      <c r="J8" s="13"/>
    </row>
    <row r="9" spans="1:11" s="12" customFormat="1" ht="15" customHeight="1" x14ac:dyDescent="0.2">
      <c r="A9" s="32" t="s">
        <v>12</v>
      </c>
      <c r="B9" s="31">
        <v>0.9</v>
      </c>
      <c r="C9" s="16"/>
      <c r="D9" s="17">
        <f>B9*C9/60*F4/24</f>
        <v>0</v>
      </c>
      <c r="E9" s="41">
        <f>B9*C9/60*G4/24</f>
        <v>0</v>
      </c>
      <c r="F9" s="13"/>
      <c r="G9" s="13"/>
      <c r="H9" s="13"/>
      <c r="I9" s="13"/>
      <c r="J9" s="13"/>
    </row>
    <row r="10" spans="1:11" s="12" customFormat="1" ht="15" customHeight="1" x14ac:dyDescent="0.25">
      <c r="A10" s="33" t="s">
        <v>13</v>
      </c>
      <c r="B10" s="31">
        <v>1.1000000000000001</v>
      </c>
      <c r="C10" s="16"/>
      <c r="D10" s="17">
        <f>B10*C10/60*F4/24</f>
        <v>0</v>
      </c>
      <c r="E10" s="41">
        <f>B10*C10/60*G4/24</f>
        <v>0</v>
      </c>
      <c r="F10" s="13"/>
      <c r="G10" s="11"/>
      <c r="H10" s="11"/>
      <c r="I10" s="11"/>
      <c r="J10" s="11"/>
      <c r="K10" s="11"/>
    </row>
    <row r="11" spans="1:11" s="12" customFormat="1" ht="15" customHeight="1" x14ac:dyDescent="0.25">
      <c r="A11" s="33" t="s">
        <v>14</v>
      </c>
      <c r="B11" s="31">
        <v>1.2</v>
      </c>
      <c r="C11" s="16"/>
      <c r="D11" s="17">
        <f>B11*C11/60*F4/24</f>
        <v>0</v>
      </c>
      <c r="E11" s="41">
        <f>B11*C11/60*G4/24</f>
        <v>0</v>
      </c>
      <c r="F11" s="13"/>
      <c r="G11" s="11"/>
      <c r="H11" s="11"/>
      <c r="I11" s="11"/>
      <c r="J11" s="11"/>
      <c r="K11" s="11"/>
    </row>
    <row r="12" spans="1:11" s="12" customFormat="1" ht="15" customHeight="1" x14ac:dyDescent="0.25">
      <c r="A12" s="33" t="s">
        <v>15</v>
      </c>
      <c r="B12" s="31">
        <v>1.4</v>
      </c>
      <c r="C12" s="16"/>
      <c r="D12" s="17">
        <f>B12*C12/60*F4/24</f>
        <v>0</v>
      </c>
      <c r="E12" s="41">
        <f>B12*C12/60*G4/24</f>
        <v>0</v>
      </c>
      <c r="F12" s="13"/>
      <c r="G12" s="13"/>
      <c r="H12" s="13">
        <f>(1.67*1.67)*25</f>
        <v>69.722499999999997</v>
      </c>
      <c r="I12" s="11"/>
      <c r="J12" s="11"/>
      <c r="K12" s="11"/>
    </row>
    <row r="13" spans="1:11" s="12" customFormat="1" ht="15" customHeight="1" x14ac:dyDescent="0.25">
      <c r="A13" s="33" t="s">
        <v>16</v>
      </c>
      <c r="B13" s="31">
        <v>0.9</v>
      </c>
      <c r="C13" s="16"/>
      <c r="D13" s="17">
        <f>B13*C13/60*F4/24</f>
        <v>0</v>
      </c>
      <c r="E13" s="41">
        <f>B13*C13/60*G4/24</f>
        <v>0</v>
      </c>
      <c r="F13" s="13"/>
      <c r="G13" s="13"/>
      <c r="H13" s="13"/>
      <c r="J13" s="11"/>
      <c r="K13" s="18"/>
    </row>
    <row r="14" spans="1:11" s="12" customFormat="1" ht="15" customHeight="1" x14ac:dyDescent="0.2">
      <c r="A14" s="33" t="s">
        <v>143</v>
      </c>
      <c r="B14" s="31">
        <v>1.8</v>
      </c>
      <c r="C14" s="16"/>
      <c r="D14" s="17">
        <f>B14*C14/60*F4/24</f>
        <v>0</v>
      </c>
      <c r="E14" s="41">
        <f>B14*C14/60*G4/24</f>
        <v>0</v>
      </c>
      <c r="F14" s="13"/>
      <c r="G14" s="13"/>
      <c r="H14" s="13"/>
      <c r="I14" s="13"/>
      <c r="J14" s="13"/>
    </row>
    <row r="15" spans="1:11" s="12" customFormat="1" ht="15" customHeight="1" x14ac:dyDescent="0.2">
      <c r="A15" s="33" t="s">
        <v>17</v>
      </c>
      <c r="B15" s="31">
        <v>1.3</v>
      </c>
      <c r="C15" s="16"/>
      <c r="D15" s="17">
        <f>B15*C15/60*F4/24</f>
        <v>0</v>
      </c>
      <c r="E15" s="41">
        <f>B15*C15/60*G4/24</f>
        <v>0</v>
      </c>
      <c r="F15" s="13"/>
      <c r="G15" s="13"/>
      <c r="H15" s="13"/>
      <c r="I15" s="13"/>
      <c r="J15" s="13"/>
    </row>
    <row r="16" spans="1:11" s="12" customFormat="1" ht="15" customHeight="1" x14ac:dyDescent="0.2">
      <c r="A16" s="33" t="s">
        <v>18</v>
      </c>
      <c r="B16" s="31">
        <v>1.6</v>
      </c>
      <c r="C16" s="16"/>
      <c r="D16" s="17">
        <f>B16*C16/60*F4/24</f>
        <v>0</v>
      </c>
      <c r="E16" s="41">
        <f>B16*C16/60*G4/24</f>
        <v>0</v>
      </c>
      <c r="F16" s="13"/>
      <c r="G16" s="13"/>
      <c r="H16" s="13" t="s">
        <v>19</v>
      </c>
      <c r="I16" s="13"/>
      <c r="J16" s="13"/>
    </row>
    <row r="17" spans="1:12" s="12" customFormat="1" ht="15" customHeight="1" x14ac:dyDescent="0.2">
      <c r="A17" s="33" t="s">
        <v>144</v>
      </c>
      <c r="B17" s="31">
        <v>2.5</v>
      </c>
      <c r="C17" s="16"/>
      <c r="D17" s="17">
        <f>B17*C17/60*F4/24</f>
        <v>0</v>
      </c>
      <c r="E17" s="41">
        <f>B17*C17/60*G4/24</f>
        <v>0</v>
      </c>
      <c r="F17" s="13"/>
      <c r="G17" s="13"/>
      <c r="H17" s="13"/>
      <c r="I17" s="13"/>
      <c r="J17" s="13"/>
    </row>
    <row r="18" spans="1:12" s="12" customFormat="1" ht="15" customHeight="1" x14ac:dyDescent="0.2">
      <c r="A18" s="33" t="s">
        <v>145</v>
      </c>
      <c r="B18" s="31">
        <v>3</v>
      </c>
      <c r="C18" s="16"/>
      <c r="D18" s="17">
        <f>B18*C18/60*F4/24</f>
        <v>0</v>
      </c>
      <c r="E18" s="41">
        <f>B18*C18/60*G4/24</f>
        <v>0</v>
      </c>
      <c r="F18" s="13"/>
      <c r="G18" s="13"/>
      <c r="H18" s="13"/>
      <c r="I18" s="13"/>
      <c r="J18" s="13"/>
    </row>
    <row r="19" spans="1:12" s="12" customFormat="1" ht="15" customHeight="1" x14ac:dyDescent="0.2">
      <c r="A19" s="33" t="s">
        <v>20</v>
      </c>
      <c r="B19" s="31">
        <v>1.4</v>
      </c>
      <c r="C19" s="16"/>
      <c r="D19" s="17">
        <f>B19*C19/60*F4/24</f>
        <v>0</v>
      </c>
      <c r="E19" s="41">
        <f>B19*C19/60*G4/24</f>
        <v>0</v>
      </c>
      <c r="F19" s="13"/>
      <c r="G19" s="13"/>
      <c r="H19" s="13"/>
      <c r="I19" s="13"/>
      <c r="J19" s="13"/>
    </row>
    <row r="20" spans="1:12" s="12" customFormat="1" ht="15" customHeight="1" x14ac:dyDescent="0.2">
      <c r="A20" s="33" t="s">
        <v>21</v>
      </c>
      <c r="B20" s="31">
        <v>1.7</v>
      </c>
      <c r="C20" s="16"/>
      <c r="D20" s="17">
        <f>B20*C20/60*F4/24</f>
        <v>0</v>
      </c>
      <c r="E20" s="41">
        <f>B20*C20/60*G4/24</f>
        <v>0</v>
      </c>
      <c r="F20" s="13"/>
      <c r="G20" s="13"/>
      <c r="H20" s="13"/>
      <c r="I20" s="13"/>
      <c r="J20" s="13"/>
    </row>
    <row r="21" spans="1:12" s="12" customFormat="1" ht="15" customHeight="1" x14ac:dyDescent="0.2">
      <c r="A21" s="33" t="s">
        <v>22</v>
      </c>
      <c r="B21" s="31">
        <v>2.2000000000000002</v>
      </c>
      <c r="C21" s="16"/>
      <c r="D21" s="17">
        <f>B21*C21/60*F4/24</f>
        <v>0</v>
      </c>
      <c r="E21" s="41">
        <f>B21*C21/60*G4/24</f>
        <v>0</v>
      </c>
      <c r="F21" s="13"/>
      <c r="G21" s="13"/>
      <c r="H21" s="13"/>
      <c r="I21" s="13"/>
      <c r="J21" s="13"/>
    </row>
    <row r="22" spans="1:12" s="12" customFormat="1" ht="15" customHeight="1" x14ac:dyDescent="0.2">
      <c r="A22" s="33" t="s">
        <v>23</v>
      </c>
      <c r="B22" s="31">
        <v>2.9</v>
      </c>
      <c r="C22" s="16"/>
      <c r="D22" s="17">
        <f>B22*C22/60*F4/24</f>
        <v>0</v>
      </c>
      <c r="E22" s="41">
        <f>B22*C22/60*G4/24</f>
        <v>0</v>
      </c>
      <c r="F22" s="13"/>
      <c r="G22" s="13"/>
      <c r="H22" s="13"/>
      <c r="I22" s="13"/>
      <c r="J22" s="13"/>
    </row>
    <row r="23" spans="1:12" s="12" customFormat="1" ht="15" customHeight="1" x14ac:dyDescent="0.2">
      <c r="A23" s="34" t="s">
        <v>24</v>
      </c>
      <c r="B23" s="31">
        <v>5.5</v>
      </c>
      <c r="C23" s="16"/>
      <c r="D23" s="17">
        <f>B23*C23/60*F4/24</f>
        <v>0</v>
      </c>
      <c r="E23" s="41">
        <f>B23*C23/60*G4/24</f>
        <v>0</v>
      </c>
      <c r="F23" s="13"/>
      <c r="G23" s="13"/>
      <c r="H23" s="13"/>
      <c r="I23" s="13"/>
      <c r="J23" s="13"/>
    </row>
    <row r="24" spans="1:12" s="12" customFormat="1" ht="15" customHeight="1" x14ac:dyDescent="0.2">
      <c r="A24" s="34" t="s">
        <v>142</v>
      </c>
      <c r="B24" s="31">
        <v>3.5</v>
      </c>
      <c r="C24" s="16"/>
      <c r="D24" s="17">
        <f>B24*C24/60*F4/24</f>
        <v>0</v>
      </c>
      <c r="E24" s="41">
        <f>B24*C24/60*G4/24</f>
        <v>0</v>
      </c>
      <c r="F24" s="13"/>
      <c r="G24" s="13"/>
      <c r="H24" s="13"/>
      <c r="I24" s="13"/>
      <c r="J24" s="13"/>
    </row>
    <row r="25" spans="1:12" s="12" customFormat="1" ht="15" customHeight="1" x14ac:dyDescent="0.2">
      <c r="A25" s="38"/>
      <c r="B25" s="39"/>
      <c r="C25" s="39"/>
      <c r="D25" s="40"/>
      <c r="E25" s="40"/>
      <c r="F25" s="13"/>
      <c r="G25" s="13"/>
      <c r="H25" s="13"/>
      <c r="I25" s="13"/>
      <c r="J25" s="13"/>
    </row>
    <row r="26" spans="1:12" s="12" customFormat="1" ht="15" customHeight="1" x14ac:dyDescent="0.25">
      <c r="A26" s="35" t="s">
        <v>25</v>
      </c>
      <c r="B26" s="42" t="s">
        <v>7</v>
      </c>
      <c r="C26" s="42" t="s">
        <v>8</v>
      </c>
      <c r="D26" s="42" t="s">
        <v>9</v>
      </c>
      <c r="E26" s="42" t="s">
        <v>10</v>
      </c>
      <c r="F26" s="13"/>
      <c r="G26" s="13"/>
      <c r="H26" s="13"/>
      <c r="I26" s="13"/>
      <c r="J26" s="13"/>
    </row>
    <row r="27" spans="1:12" s="12" customFormat="1" ht="15" customHeight="1" x14ac:dyDescent="0.2">
      <c r="A27" s="32" t="s">
        <v>134</v>
      </c>
      <c r="B27" s="31">
        <v>4</v>
      </c>
      <c r="C27" s="16"/>
      <c r="D27" s="17">
        <f>B27*C27/60*F4/24</f>
        <v>0</v>
      </c>
      <c r="E27" s="41">
        <f>B27*C27/60*G4/24</f>
        <v>0</v>
      </c>
      <c r="F27" s="13"/>
      <c r="G27" s="13"/>
      <c r="H27" s="13"/>
      <c r="I27" s="13"/>
      <c r="J27" s="13"/>
    </row>
    <row r="28" spans="1:12" s="12" customFormat="1" ht="15" customHeight="1" x14ac:dyDescent="0.2">
      <c r="A28" s="33" t="s">
        <v>135</v>
      </c>
      <c r="B28" s="31">
        <v>6</v>
      </c>
      <c r="C28" s="16"/>
      <c r="D28" s="17">
        <f>B28*C28/60*F4/24</f>
        <v>0</v>
      </c>
      <c r="E28" s="41">
        <f>B28*C28/60*G4/24</f>
        <v>0</v>
      </c>
      <c r="F28" s="13" t="s">
        <v>129</v>
      </c>
      <c r="G28" s="13"/>
      <c r="H28" s="13"/>
      <c r="I28" s="13"/>
      <c r="J28" s="13"/>
    </row>
    <row r="29" spans="1:12" s="12" customFormat="1" ht="15" customHeight="1" x14ac:dyDescent="0.2">
      <c r="A29" s="33" t="s">
        <v>136</v>
      </c>
      <c r="B29" s="31">
        <v>8</v>
      </c>
      <c r="C29" s="16"/>
      <c r="D29" s="17">
        <f>B29*C29/60*F4/24</f>
        <v>0</v>
      </c>
      <c r="E29" s="41">
        <f>B29*C29/60*G4/24</f>
        <v>0</v>
      </c>
      <c r="F29" s="13"/>
      <c r="G29" s="13"/>
      <c r="H29" s="13"/>
      <c r="I29" s="13"/>
      <c r="J29" s="13"/>
    </row>
    <row r="30" spans="1:12" s="12" customFormat="1" ht="15" customHeight="1" x14ac:dyDescent="0.2">
      <c r="A30" s="33" t="s">
        <v>137</v>
      </c>
      <c r="B30" s="31">
        <v>10</v>
      </c>
      <c r="C30" s="16"/>
      <c r="D30" s="17">
        <f>B30*C30/60*F4/24</f>
        <v>0</v>
      </c>
      <c r="E30" s="41">
        <f>B30*C30/60*G4/24</f>
        <v>0</v>
      </c>
      <c r="F30" s="13"/>
      <c r="G30" s="13"/>
      <c r="H30" s="13"/>
      <c r="I30" s="13"/>
      <c r="J30" s="13"/>
    </row>
    <row r="31" spans="1:12" s="12" customFormat="1" ht="15" customHeight="1" x14ac:dyDescent="0.2">
      <c r="A31" s="33" t="s">
        <v>138</v>
      </c>
      <c r="B31" s="31">
        <v>12</v>
      </c>
      <c r="C31" s="16"/>
      <c r="D31" s="17">
        <f>B31*C31/60*F4/24</f>
        <v>0</v>
      </c>
      <c r="E31" s="41">
        <f>B31*C31/60*G4/24</f>
        <v>0</v>
      </c>
      <c r="F31" s="13"/>
      <c r="G31" s="13"/>
      <c r="H31" s="13"/>
      <c r="I31" s="13"/>
      <c r="J31" s="13"/>
    </row>
    <row r="32" spans="1:12" s="12" customFormat="1" ht="15" customHeight="1" x14ac:dyDescent="0.2">
      <c r="A32" s="33" t="s">
        <v>130</v>
      </c>
      <c r="B32" s="31">
        <v>8</v>
      </c>
      <c r="C32" s="16"/>
      <c r="D32" s="17">
        <f>B32*C32/60*F4/24</f>
        <v>0</v>
      </c>
      <c r="E32" s="41">
        <f>B32*C32/60*G4/24</f>
        <v>0</v>
      </c>
      <c r="F32" s="13"/>
      <c r="G32" s="13" t="s">
        <v>182</v>
      </c>
      <c r="H32" s="13"/>
      <c r="I32" s="13"/>
      <c r="J32" s="13" t="s">
        <v>186</v>
      </c>
      <c r="L32" s="12" t="s">
        <v>187</v>
      </c>
    </row>
    <row r="33" spans="1:13" s="12" customFormat="1" ht="15" customHeight="1" x14ac:dyDescent="0.2">
      <c r="A33" s="33" t="s">
        <v>131</v>
      </c>
      <c r="B33" s="31">
        <v>11.5</v>
      </c>
      <c r="C33" s="16"/>
      <c r="D33" s="17">
        <f>B33*C33/60*F4/24</f>
        <v>0</v>
      </c>
      <c r="E33" s="41">
        <f>B33*C33/60*G4/24</f>
        <v>0</v>
      </c>
      <c r="F33" s="13"/>
      <c r="G33" s="13" t="s">
        <v>183</v>
      </c>
      <c r="H33" s="13"/>
      <c r="I33" s="13"/>
      <c r="J33" s="13"/>
      <c r="L33" s="12" t="s">
        <v>188</v>
      </c>
    </row>
    <row r="34" spans="1:13" s="12" customFormat="1" ht="15" customHeight="1" x14ac:dyDescent="0.2">
      <c r="A34" s="33" t="s">
        <v>132</v>
      </c>
      <c r="B34" s="31">
        <v>15</v>
      </c>
      <c r="C34" s="16"/>
      <c r="D34" s="17">
        <f>B34*C34/60*F4/24</f>
        <v>0</v>
      </c>
      <c r="E34" s="41">
        <f>B34*C34/60*G4/24</f>
        <v>0</v>
      </c>
      <c r="F34" s="13"/>
      <c r="G34" s="13" t="s">
        <v>184</v>
      </c>
      <c r="H34" s="13"/>
      <c r="I34" s="13"/>
      <c r="J34" s="13"/>
    </row>
    <row r="35" spans="1:13" s="12" customFormat="1" ht="15" customHeight="1" x14ac:dyDescent="0.2">
      <c r="A35" s="33" t="s">
        <v>133</v>
      </c>
      <c r="B35" s="31">
        <v>18</v>
      </c>
      <c r="C35" s="16"/>
      <c r="D35" s="17">
        <f>B35*C35/60*F4/24</f>
        <v>0</v>
      </c>
      <c r="E35" s="41">
        <f>B35*C35/60*G4/24</f>
        <v>0</v>
      </c>
      <c r="F35" s="13"/>
      <c r="G35" s="13"/>
      <c r="H35" s="13"/>
      <c r="I35" s="13"/>
      <c r="J35" s="13"/>
    </row>
    <row r="36" spans="1:13" s="12" customFormat="1" ht="15" customHeight="1" x14ac:dyDescent="0.2">
      <c r="A36" s="33" t="s">
        <v>26</v>
      </c>
      <c r="B36" s="31">
        <v>9.5</v>
      </c>
      <c r="C36" s="16"/>
      <c r="D36" s="17">
        <f>B36*C36/60*F4/24</f>
        <v>0</v>
      </c>
      <c r="E36" s="41">
        <f>B36*C36/60*G4/24</f>
        <v>0</v>
      </c>
      <c r="F36" s="13"/>
      <c r="G36" s="13" t="s">
        <v>185</v>
      </c>
      <c r="H36" s="13"/>
      <c r="I36" s="13" t="s">
        <v>189</v>
      </c>
      <c r="J36" s="13"/>
    </row>
    <row r="37" spans="1:13" s="12" customFormat="1" ht="15" customHeight="1" x14ac:dyDescent="0.2">
      <c r="A37" s="33" t="s">
        <v>27</v>
      </c>
      <c r="B37" s="31">
        <v>3</v>
      </c>
      <c r="C37" s="16"/>
      <c r="D37" s="17">
        <f>B37*C37/60*F4/24</f>
        <v>0</v>
      </c>
      <c r="E37" s="41">
        <f>B37*C37/60*G4/24</f>
        <v>0</v>
      </c>
      <c r="F37" s="13"/>
      <c r="G37" s="13">
        <v>40</v>
      </c>
      <c r="H37" s="13"/>
      <c r="I37" s="13"/>
      <c r="J37" s="13"/>
    </row>
    <row r="38" spans="1:13" s="12" customFormat="1" ht="15" customHeight="1" x14ac:dyDescent="0.2">
      <c r="A38" s="33" t="s">
        <v>27</v>
      </c>
      <c r="B38" s="31">
        <v>6</v>
      </c>
      <c r="C38" s="16"/>
      <c r="D38" s="17">
        <f>B38*C38/60*F4/24</f>
        <v>0</v>
      </c>
      <c r="E38" s="41">
        <f>B38*C38/60*G4/24</f>
        <v>0</v>
      </c>
      <c r="F38" s="13"/>
      <c r="G38" s="13"/>
      <c r="H38" s="13"/>
      <c r="I38" s="13"/>
      <c r="J38" s="13"/>
    </row>
    <row r="39" spans="1:13" s="12" customFormat="1" ht="15" customHeight="1" x14ac:dyDescent="0.2">
      <c r="A39" s="33" t="s">
        <v>28</v>
      </c>
      <c r="B39" s="31">
        <v>6</v>
      </c>
      <c r="C39" s="16"/>
      <c r="D39" s="17">
        <f>B39*C39/60*F4/24</f>
        <v>0</v>
      </c>
      <c r="E39" s="41">
        <f>B39*C39/60*G4/24</f>
        <v>0</v>
      </c>
      <c r="F39" s="13"/>
      <c r="G39" s="13"/>
      <c r="H39" s="13"/>
      <c r="I39" s="13"/>
      <c r="J39" s="13"/>
    </row>
    <row r="40" spans="1:13" s="12" customFormat="1" ht="15" customHeight="1" x14ac:dyDescent="0.2">
      <c r="A40" s="33" t="s">
        <v>29</v>
      </c>
      <c r="B40" s="31">
        <v>4</v>
      </c>
      <c r="C40" s="16"/>
      <c r="D40" s="17">
        <f>B40*C40/60*F4/24</f>
        <v>0</v>
      </c>
      <c r="E40" s="41">
        <f>B40*C40/60*G4/24</f>
        <v>0</v>
      </c>
      <c r="F40" s="13"/>
      <c r="G40" s="13"/>
      <c r="H40" s="13"/>
      <c r="I40" s="13"/>
      <c r="J40" s="13"/>
    </row>
    <row r="41" spans="1:13" s="12" customFormat="1" ht="15" customHeight="1" x14ac:dyDescent="0.2">
      <c r="A41" s="34" t="s">
        <v>155</v>
      </c>
      <c r="B41" s="31">
        <v>4</v>
      </c>
      <c r="C41" s="16"/>
      <c r="D41" s="17">
        <f>B41*C41/60*F4/24</f>
        <v>0</v>
      </c>
      <c r="E41" s="41">
        <f>B41*C41/60*G4/24</f>
        <v>0</v>
      </c>
      <c r="F41" s="13"/>
      <c r="G41" s="13"/>
      <c r="H41" s="13"/>
      <c r="I41" s="13"/>
      <c r="J41" s="13"/>
    </row>
    <row r="42" spans="1:13" s="12" customFormat="1" ht="15" customHeight="1" x14ac:dyDescent="0.2">
      <c r="A42" s="38"/>
      <c r="B42" s="39"/>
      <c r="C42" s="39"/>
      <c r="D42" s="40"/>
      <c r="E42" s="37"/>
      <c r="F42" s="13"/>
      <c r="G42" s="13"/>
      <c r="H42" s="13"/>
      <c r="I42" s="13"/>
      <c r="J42" s="13" t="s">
        <v>190</v>
      </c>
      <c r="M42" s="12" t="s">
        <v>191</v>
      </c>
    </row>
    <row r="43" spans="1:13" s="12" customFormat="1" ht="15" customHeight="1" x14ac:dyDescent="0.25">
      <c r="A43" s="35" t="s">
        <v>30</v>
      </c>
      <c r="B43" s="42" t="s">
        <v>7</v>
      </c>
      <c r="C43" s="42" t="s">
        <v>8</v>
      </c>
      <c r="D43" s="42" t="s">
        <v>9</v>
      </c>
      <c r="E43" s="42" t="s">
        <v>10</v>
      </c>
      <c r="F43" s="20"/>
      <c r="G43" s="13"/>
      <c r="H43" s="13"/>
      <c r="I43" s="13"/>
      <c r="J43" s="13"/>
      <c r="M43" s="12" t="s">
        <v>192</v>
      </c>
    </row>
    <row r="44" spans="1:13" s="12" customFormat="1" ht="15" customHeight="1" x14ac:dyDescent="0.2">
      <c r="A44" s="32" t="s">
        <v>31</v>
      </c>
      <c r="B44" s="31">
        <v>4.5</v>
      </c>
      <c r="C44" s="16"/>
      <c r="D44" s="17">
        <f>B44*C44/60*F4/24</f>
        <v>0</v>
      </c>
      <c r="E44" s="41">
        <f>B44*C44/60*G4/24</f>
        <v>0</v>
      </c>
      <c r="F44" s="13"/>
      <c r="I44" s="13"/>
      <c r="J44" s="13"/>
    </row>
    <row r="45" spans="1:13" s="12" customFormat="1" ht="15" customHeight="1" x14ac:dyDescent="0.2">
      <c r="A45" s="32" t="s">
        <v>139</v>
      </c>
      <c r="B45" s="31">
        <v>6</v>
      </c>
      <c r="C45" s="16"/>
      <c r="D45" s="17">
        <f>B45*C45/60*F4/24</f>
        <v>0</v>
      </c>
      <c r="E45" s="41">
        <f>B45*C45/60*G4/24</f>
        <v>0</v>
      </c>
      <c r="F45" s="13"/>
      <c r="I45" s="13"/>
      <c r="J45" s="13"/>
    </row>
    <row r="46" spans="1:13" s="12" customFormat="1" ht="15" customHeight="1" x14ac:dyDescent="0.2">
      <c r="A46" s="33" t="s">
        <v>32</v>
      </c>
      <c r="B46" s="31">
        <v>8</v>
      </c>
      <c r="C46" s="16"/>
      <c r="D46" s="17">
        <f>B46*C46/60*F4/24</f>
        <v>0</v>
      </c>
      <c r="E46" s="41">
        <f>B46*C46/60*G4/24</f>
        <v>0</v>
      </c>
      <c r="F46" s="13"/>
      <c r="G46" s="13"/>
      <c r="H46" s="13"/>
      <c r="I46" s="13"/>
      <c r="J46" s="13"/>
    </row>
    <row r="47" spans="1:13" s="12" customFormat="1" ht="15" customHeight="1" x14ac:dyDescent="0.2">
      <c r="A47" s="33" t="s">
        <v>33</v>
      </c>
      <c r="B47" s="31">
        <v>6</v>
      </c>
      <c r="C47" s="16"/>
      <c r="D47" s="17">
        <f>B47*C47/60*F4/24</f>
        <v>0</v>
      </c>
      <c r="E47" s="41">
        <f>B47*C47/60*G4/24</f>
        <v>0</v>
      </c>
      <c r="F47" s="13"/>
      <c r="G47" s="13"/>
      <c r="H47" s="13"/>
      <c r="I47" s="13"/>
      <c r="J47" s="13"/>
    </row>
    <row r="48" spans="1:13" s="12" customFormat="1" ht="15" customHeight="1" x14ac:dyDescent="0.2">
      <c r="A48" s="33" t="s">
        <v>34</v>
      </c>
      <c r="B48" s="31">
        <v>12</v>
      </c>
      <c r="C48" s="16"/>
      <c r="D48" s="17">
        <f>B48*C48/60*F4/24</f>
        <v>0</v>
      </c>
      <c r="E48" s="41">
        <f>B48*C48/60*G4/24</f>
        <v>0</v>
      </c>
      <c r="F48" s="13"/>
      <c r="G48" s="13"/>
      <c r="H48" s="13"/>
      <c r="I48" s="13"/>
      <c r="J48" s="13"/>
    </row>
    <row r="49" spans="1:12" s="12" customFormat="1" ht="15" customHeight="1" x14ac:dyDescent="0.2">
      <c r="A49" s="33" t="s">
        <v>35</v>
      </c>
      <c r="B49" s="31">
        <v>4.5</v>
      </c>
      <c r="C49" s="16"/>
      <c r="D49" s="17">
        <f>B49*C49/60*F4/24</f>
        <v>0</v>
      </c>
      <c r="E49" s="41">
        <f>B49*C49/60*G4/24</f>
        <v>0</v>
      </c>
      <c r="F49" s="13" t="s">
        <v>181</v>
      </c>
      <c r="G49" s="13"/>
      <c r="H49" s="13"/>
      <c r="I49" s="13"/>
      <c r="J49" s="13"/>
    </row>
    <row r="50" spans="1:12" s="12" customFormat="1" ht="15" customHeight="1" x14ac:dyDescent="0.2">
      <c r="A50" s="33" t="s">
        <v>36</v>
      </c>
      <c r="B50" s="31">
        <v>4</v>
      </c>
      <c r="C50" s="16"/>
      <c r="D50" s="17">
        <f>B50*C50/60*F4/24</f>
        <v>0</v>
      </c>
      <c r="E50" s="41">
        <f>B50*C50/60*G4/24</f>
        <v>0</v>
      </c>
      <c r="F50" s="13"/>
      <c r="G50" s="13" t="s">
        <v>140</v>
      </c>
      <c r="H50" s="13">
        <v>2.5</v>
      </c>
      <c r="I50" s="13"/>
      <c r="J50" s="13"/>
    </row>
    <row r="51" spans="1:12" s="12" customFormat="1" ht="15" customHeight="1" x14ac:dyDescent="0.2">
      <c r="A51" s="33" t="s">
        <v>37</v>
      </c>
      <c r="B51" s="31">
        <v>12</v>
      </c>
      <c r="C51" s="16"/>
      <c r="D51" s="17">
        <f>B51*C51/60*F4/24</f>
        <v>0</v>
      </c>
      <c r="E51" s="41">
        <f>B51*C51/60*G4/24</f>
        <v>0</v>
      </c>
      <c r="F51" s="13"/>
      <c r="G51" s="13" t="s">
        <v>141</v>
      </c>
      <c r="H51" s="13">
        <v>3.5</v>
      </c>
      <c r="I51" s="13"/>
      <c r="J51" s="13"/>
    </row>
    <row r="52" spans="1:12" s="12" customFormat="1" ht="15" customHeight="1" x14ac:dyDescent="0.2">
      <c r="A52" s="33" t="s">
        <v>38</v>
      </c>
      <c r="B52" s="31">
        <v>8</v>
      </c>
      <c r="C52" s="16"/>
      <c r="D52" s="17">
        <f>B52*C52/60*F4/24</f>
        <v>0</v>
      </c>
      <c r="E52" s="41">
        <f>B52*C52/60*G4/24</f>
        <v>0</v>
      </c>
      <c r="F52" s="13"/>
      <c r="G52" s="13"/>
      <c r="H52" s="13"/>
      <c r="I52" s="13"/>
      <c r="J52" s="13"/>
    </row>
    <row r="53" spans="1:12" s="12" customFormat="1" ht="15" customHeight="1" x14ac:dyDescent="0.2">
      <c r="A53" s="33" t="s">
        <v>39</v>
      </c>
      <c r="B53" s="31">
        <v>10</v>
      </c>
      <c r="C53" s="16"/>
      <c r="D53" s="17">
        <f>B53*C53/60*F4/24</f>
        <v>0</v>
      </c>
      <c r="E53" s="41">
        <f>B53*C53/60*G4/24</f>
        <v>0</v>
      </c>
      <c r="F53" s="13"/>
      <c r="G53" s="13"/>
      <c r="H53" s="13"/>
      <c r="I53" s="13"/>
      <c r="J53" s="13"/>
      <c r="L53" s="12">
        <v>98793018</v>
      </c>
    </row>
    <row r="54" spans="1:12" s="12" customFormat="1" ht="15" customHeight="1" x14ac:dyDescent="0.2">
      <c r="A54" s="33" t="s">
        <v>40</v>
      </c>
      <c r="B54" s="31">
        <v>4</v>
      </c>
      <c r="C54" s="16"/>
      <c r="D54" s="17">
        <f>B54*C54/60*F4/24</f>
        <v>0</v>
      </c>
      <c r="E54" s="41">
        <f>B54*C54/60*G4/24</f>
        <v>0</v>
      </c>
      <c r="F54" s="13"/>
      <c r="G54" s="13"/>
      <c r="H54" s="13"/>
      <c r="I54" s="13"/>
      <c r="J54" s="13"/>
      <c r="L54" s="12" t="s">
        <v>193</v>
      </c>
    </row>
    <row r="55" spans="1:12" s="12" customFormat="1" ht="15" customHeight="1" x14ac:dyDescent="0.2">
      <c r="A55" s="33" t="s">
        <v>151</v>
      </c>
      <c r="B55" s="31">
        <v>8.5</v>
      </c>
      <c r="C55" s="16"/>
      <c r="D55" s="17">
        <f>B55*C55/60*F4/24</f>
        <v>0</v>
      </c>
      <c r="E55" s="41">
        <f>B55*C55/60*G4/24</f>
        <v>0</v>
      </c>
      <c r="F55" s="13"/>
      <c r="G55" s="13"/>
      <c r="H55" s="13"/>
      <c r="I55" s="13"/>
      <c r="J55" s="13"/>
    </row>
    <row r="56" spans="1:12" s="12" customFormat="1" ht="15" customHeight="1" x14ac:dyDescent="0.2">
      <c r="A56" s="33" t="s">
        <v>41</v>
      </c>
      <c r="B56" s="31">
        <v>8</v>
      </c>
      <c r="C56" s="16"/>
      <c r="D56" s="17">
        <f>B56*C56/60*F4/24</f>
        <v>0</v>
      </c>
      <c r="E56" s="41">
        <f>B56*C56/60*G4/24</f>
        <v>0</v>
      </c>
      <c r="F56" s="13"/>
      <c r="G56" s="13"/>
      <c r="H56" s="13"/>
      <c r="I56" s="13"/>
      <c r="J56" s="13"/>
    </row>
    <row r="57" spans="1:12" s="12" customFormat="1" ht="15" customHeight="1" x14ac:dyDescent="0.2">
      <c r="A57" s="33" t="s">
        <v>42</v>
      </c>
      <c r="B57" s="31">
        <v>10</v>
      </c>
      <c r="C57" s="16"/>
      <c r="D57" s="17">
        <f>B57*C57/60*F4/24</f>
        <v>0</v>
      </c>
      <c r="E57" s="41">
        <f>B57*C57/60*G4/24</f>
        <v>0</v>
      </c>
      <c r="F57" s="13"/>
      <c r="G57" s="13"/>
      <c r="H57" s="13"/>
      <c r="I57" s="13"/>
      <c r="J57" s="13"/>
    </row>
    <row r="58" spans="1:12" s="12" customFormat="1" ht="15" customHeight="1" x14ac:dyDescent="0.2">
      <c r="A58" s="33" t="s">
        <v>43</v>
      </c>
      <c r="B58" s="31">
        <v>7</v>
      </c>
      <c r="C58" s="16"/>
      <c r="D58" s="17">
        <f>B58*C58/60*F4/24</f>
        <v>0</v>
      </c>
      <c r="E58" s="41">
        <f>B58*C58/60*G4/24</f>
        <v>0</v>
      </c>
      <c r="F58" s="13"/>
      <c r="G58" s="13"/>
      <c r="H58" s="13"/>
      <c r="I58" s="13"/>
      <c r="J58" s="13"/>
    </row>
    <row r="59" spans="1:12" s="12" customFormat="1" ht="15" customHeight="1" x14ac:dyDescent="0.2">
      <c r="A59" s="33" t="s">
        <v>44</v>
      </c>
      <c r="B59" s="31">
        <v>11</v>
      </c>
      <c r="C59" s="16"/>
      <c r="D59" s="17">
        <f>B59*C59/60*F4/24</f>
        <v>0</v>
      </c>
      <c r="E59" s="41">
        <f>B59*C59/60*G4/24</f>
        <v>0</v>
      </c>
      <c r="F59" s="13"/>
      <c r="G59" s="13"/>
      <c r="H59" s="13"/>
      <c r="I59" s="13"/>
      <c r="J59" s="13"/>
    </row>
    <row r="60" spans="1:12" s="12" customFormat="1" ht="15" customHeight="1" x14ac:dyDescent="0.2">
      <c r="A60" s="33" t="s">
        <v>45</v>
      </c>
      <c r="B60" s="31">
        <v>10</v>
      </c>
      <c r="C60" s="16"/>
      <c r="D60" s="17">
        <f>B60*C60/60*F4/24</f>
        <v>0</v>
      </c>
      <c r="E60" s="41">
        <f>B60*C60/60*G4/24</f>
        <v>0</v>
      </c>
      <c r="F60" s="13"/>
      <c r="G60" s="13" t="s">
        <v>146</v>
      </c>
      <c r="H60" s="13">
        <v>6</v>
      </c>
      <c r="I60" s="13"/>
      <c r="J60" s="13"/>
    </row>
    <row r="61" spans="1:12" s="12" customFormat="1" ht="15" customHeight="1" x14ac:dyDescent="0.2">
      <c r="A61" s="33" t="s">
        <v>46</v>
      </c>
      <c r="B61" s="31">
        <v>5</v>
      </c>
      <c r="C61" s="16"/>
      <c r="D61" s="17">
        <f>B61*C61/60*F4/24</f>
        <v>0</v>
      </c>
      <c r="E61" s="41">
        <f>B61*C61/60*G4/24</f>
        <v>0</v>
      </c>
      <c r="F61" s="13"/>
      <c r="G61" s="13"/>
      <c r="H61" s="13"/>
      <c r="I61" s="13"/>
      <c r="J61" s="13"/>
    </row>
    <row r="62" spans="1:12" s="12" customFormat="1" ht="15" customHeight="1" x14ac:dyDescent="0.2">
      <c r="A62" s="33" t="s">
        <v>47</v>
      </c>
      <c r="B62" s="31">
        <v>7</v>
      </c>
      <c r="C62" s="16"/>
      <c r="D62" s="17">
        <f>B62*C62/60*F4/24</f>
        <v>0</v>
      </c>
      <c r="E62" s="41">
        <f>B62*C62/60*G4/24</f>
        <v>0</v>
      </c>
      <c r="F62" s="13"/>
      <c r="G62" s="13"/>
      <c r="H62" s="13"/>
      <c r="I62" s="13"/>
      <c r="J62" s="13"/>
    </row>
    <row r="63" spans="1:12" s="12" customFormat="1" ht="15" customHeight="1" x14ac:dyDescent="0.2">
      <c r="A63" s="33" t="s">
        <v>48</v>
      </c>
      <c r="B63" s="31">
        <v>7</v>
      </c>
      <c r="C63" s="16"/>
      <c r="D63" s="17">
        <f>B63*C63/60*F4/24</f>
        <v>0</v>
      </c>
      <c r="E63" s="41">
        <f>B63*C63/60*G4/24</f>
        <v>0</v>
      </c>
      <c r="F63" s="13"/>
      <c r="G63" s="13"/>
      <c r="H63" s="13"/>
      <c r="I63" s="13"/>
      <c r="J63" s="13"/>
    </row>
    <row r="64" spans="1:12" s="12" customFormat="1" ht="15" customHeight="1" x14ac:dyDescent="0.2">
      <c r="A64" s="33" t="s">
        <v>49</v>
      </c>
      <c r="B64" s="31">
        <v>10</v>
      </c>
      <c r="C64" s="16"/>
      <c r="D64" s="17">
        <f>B64*C64/60*F4/24</f>
        <v>0</v>
      </c>
      <c r="E64" s="41">
        <f>B64*C64/60*G4/24</f>
        <v>0</v>
      </c>
      <c r="F64" s="13"/>
      <c r="G64" s="13"/>
      <c r="H64" s="13"/>
      <c r="I64" s="13"/>
      <c r="J64" s="13"/>
    </row>
    <row r="65" spans="1:10" s="12" customFormat="1" ht="15" customHeight="1" x14ac:dyDescent="0.2">
      <c r="A65" s="33" t="s">
        <v>50</v>
      </c>
      <c r="B65" s="31">
        <v>7</v>
      </c>
      <c r="C65" s="16"/>
      <c r="D65" s="17">
        <f>B65*C65/60*F4/24</f>
        <v>0</v>
      </c>
      <c r="E65" s="41">
        <f>B65*C65/60*G4/24</f>
        <v>0</v>
      </c>
      <c r="F65" s="13"/>
      <c r="G65" s="13"/>
      <c r="H65" s="13"/>
      <c r="I65" s="13"/>
      <c r="J65" s="13"/>
    </row>
    <row r="66" spans="1:10" s="12" customFormat="1" ht="15" customHeight="1" x14ac:dyDescent="0.2">
      <c r="A66" s="33" t="s">
        <v>51</v>
      </c>
      <c r="B66" s="31">
        <v>12</v>
      </c>
      <c r="C66" s="16"/>
      <c r="D66" s="17">
        <f>B66*C66/60*F4/24</f>
        <v>0</v>
      </c>
      <c r="E66" s="41">
        <f>B66*C66/60*G4/24</f>
        <v>0</v>
      </c>
      <c r="F66" s="13"/>
      <c r="G66" s="13"/>
      <c r="H66" s="13"/>
      <c r="I66" s="13"/>
      <c r="J66" s="13"/>
    </row>
    <row r="67" spans="1:10" s="12" customFormat="1" ht="15" customHeight="1" x14ac:dyDescent="0.2">
      <c r="A67" s="33" t="s">
        <v>52</v>
      </c>
      <c r="B67" s="31">
        <v>4</v>
      </c>
      <c r="C67" s="16"/>
      <c r="D67" s="17">
        <f>B67*C67/60*F4/24</f>
        <v>0</v>
      </c>
      <c r="E67" s="41">
        <f>B67*C67/60*G4/24</f>
        <v>0</v>
      </c>
      <c r="F67" s="13"/>
      <c r="G67" s="13"/>
      <c r="H67" s="13"/>
      <c r="I67" s="13"/>
      <c r="J67" s="13"/>
    </row>
    <row r="68" spans="1:10" s="12" customFormat="1" ht="15" customHeight="1" x14ac:dyDescent="0.2">
      <c r="A68" s="33" t="s">
        <v>53</v>
      </c>
      <c r="B68" s="31">
        <v>7</v>
      </c>
      <c r="C68" s="16"/>
      <c r="D68" s="17">
        <f>B68*C68/60*F4/24</f>
        <v>0</v>
      </c>
      <c r="E68" s="41">
        <f>B68*C68/60*G4/24</f>
        <v>0</v>
      </c>
      <c r="F68" s="13"/>
      <c r="G68" s="13"/>
      <c r="H68" s="13"/>
      <c r="I68" s="13"/>
      <c r="J68" s="13"/>
    </row>
    <row r="69" spans="1:10" s="12" customFormat="1" ht="15" customHeight="1" x14ac:dyDescent="0.2">
      <c r="A69" s="33" t="s">
        <v>54</v>
      </c>
      <c r="B69" s="31">
        <v>4</v>
      </c>
      <c r="C69" s="16"/>
      <c r="D69" s="17">
        <f>B69*C69/60*F4/24</f>
        <v>0</v>
      </c>
      <c r="E69" s="41">
        <f>B69*C69/60*G4/24</f>
        <v>0</v>
      </c>
      <c r="F69" s="13"/>
      <c r="G69" s="13"/>
      <c r="H69" s="13"/>
      <c r="I69" s="13"/>
      <c r="J69" s="13"/>
    </row>
    <row r="70" spans="1:10" s="12" customFormat="1" ht="15" customHeight="1" x14ac:dyDescent="0.2">
      <c r="A70" s="33" t="s">
        <v>55</v>
      </c>
      <c r="B70" s="31">
        <v>3</v>
      </c>
      <c r="C70" s="16"/>
      <c r="D70" s="17">
        <f>B70*C70/60*F4/24</f>
        <v>0</v>
      </c>
      <c r="E70" s="41">
        <f>B70*C70/60*G4/24</f>
        <v>0</v>
      </c>
      <c r="F70" s="13"/>
      <c r="G70" s="13"/>
      <c r="H70" s="13"/>
      <c r="I70" s="13"/>
      <c r="J70" s="13"/>
    </row>
    <row r="71" spans="1:10" s="12" customFormat="1" ht="15" customHeight="1" x14ac:dyDescent="0.2">
      <c r="A71" s="33" t="s">
        <v>56</v>
      </c>
      <c r="B71" s="31">
        <v>8</v>
      </c>
      <c r="C71" s="16"/>
      <c r="D71" s="17">
        <f>B71*C71/60*F4/24</f>
        <v>0</v>
      </c>
      <c r="E71" s="41">
        <f>B71*C71/60*G4/24</f>
        <v>0</v>
      </c>
      <c r="F71" s="13"/>
      <c r="G71" s="13"/>
      <c r="H71" s="13"/>
      <c r="I71" s="13"/>
      <c r="J71" s="13"/>
    </row>
    <row r="72" spans="1:10" s="12" customFormat="1" ht="15" customHeight="1" x14ac:dyDescent="0.2">
      <c r="A72" s="33" t="s">
        <v>147</v>
      </c>
      <c r="B72" s="31">
        <v>7.2</v>
      </c>
      <c r="C72" s="16"/>
      <c r="D72" s="17">
        <f>B72*C72/60*F4/24</f>
        <v>0</v>
      </c>
      <c r="E72" s="41">
        <f>B72*C72/60*G4/24</f>
        <v>0</v>
      </c>
      <c r="F72" s="13"/>
      <c r="G72" s="13" t="s">
        <v>57</v>
      </c>
      <c r="H72" s="13"/>
      <c r="I72" s="13"/>
      <c r="J72" s="13"/>
    </row>
    <row r="73" spans="1:10" s="12" customFormat="1" ht="15" customHeight="1" x14ac:dyDescent="0.2">
      <c r="A73" s="33" t="s">
        <v>148</v>
      </c>
      <c r="B73" s="31">
        <v>8.5</v>
      </c>
      <c r="C73" s="16"/>
      <c r="D73" s="17">
        <f>B73*C73/60*F4/24</f>
        <v>0</v>
      </c>
      <c r="E73" s="41">
        <f>B73*C73/60*G4/24</f>
        <v>0</v>
      </c>
      <c r="F73" s="13"/>
      <c r="G73" s="13"/>
      <c r="H73" s="13"/>
      <c r="I73" s="13"/>
      <c r="J73" s="13"/>
    </row>
    <row r="74" spans="1:10" s="12" customFormat="1" ht="15" customHeight="1" x14ac:dyDescent="0.2">
      <c r="A74" s="33" t="s">
        <v>58</v>
      </c>
      <c r="B74" s="31">
        <v>7</v>
      </c>
      <c r="C74" s="16"/>
      <c r="D74" s="17">
        <f>B74*C74/60*F4/24</f>
        <v>0</v>
      </c>
      <c r="E74" s="41">
        <f>B74*C74/60*G4/24</f>
        <v>0</v>
      </c>
      <c r="F74" s="13"/>
      <c r="G74" s="13"/>
      <c r="H74" s="13"/>
      <c r="I74" s="13"/>
      <c r="J74" s="13"/>
    </row>
    <row r="75" spans="1:10" s="12" customFormat="1" ht="15" customHeight="1" x14ac:dyDescent="0.2">
      <c r="A75" s="33" t="s">
        <v>150</v>
      </c>
      <c r="B75" s="31">
        <v>5</v>
      </c>
      <c r="C75" s="16"/>
      <c r="D75" s="17">
        <f>B75*C75/60*F4/24</f>
        <v>0</v>
      </c>
      <c r="E75" s="41">
        <f>B75*C75/60*G4/24</f>
        <v>0</v>
      </c>
      <c r="F75" s="13"/>
      <c r="G75" s="13"/>
      <c r="H75" s="13"/>
      <c r="I75" s="13"/>
      <c r="J75" s="13"/>
    </row>
    <row r="76" spans="1:10" s="12" customFormat="1" ht="15" customHeight="1" x14ac:dyDescent="0.2">
      <c r="A76" s="33" t="s">
        <v>149</v>
      </c>
      <c r="B76" s="31">
        <v>5</v>
      </c>
      <c r="C76" s="16"/>
      <c r="D76" s="17">
        <f>B76*C76/60*F4/24</f>
        <v>0</v>
      </c>
      <c r="E76" s="41">
        <f>B76*C76/60*G4/24</f>
        <v>0</v>
      </c>
      <c r="F76" s="13"/>
      <c r="G76" s="13"/>
      <c r="H76" s="13"/>
      <c r="I76" s="13"/>
      <c r="J76" s="13"/>
    </row>
    <row r="77" spans="1:10" s="12" customFormat="1" ht="15" customHeight="1" x14ac:dyDescent="0.2">
      <c r="A77" s="33" t="s">
        <v>59</v>
      </c>
      <c r="B77" s="31">
        <v>3</v>
      </c>
      <c r="C77" s="16"/>
      <c r="D77" s="17">
        <f>B77*C77/60*F4/24</f>
        <v>0</v>
      </c>
      <c r="E77" s="41">
        <f>B77*C77/60*G4/24</f>
        <v>0</v>
      </c>
      <c r="F77" s="13"/>
      <c r="G77" s="13"/>
      <c r="H77" s="13"/>
      <c r="I77" s="13"/>
      <c r="J77" s="13"/>
    </row>
    <row r="78" spans="1:10" s="12" customFormat="1" ht="15" customHeight="1" x14ac:dyDescent="0.2">
      <c r="A78" s="33" t="s">
        <v>60</v>
      </c>
      <c r="B78" s="31">
        <v>10</v>
      </c>
      <c r="C78" s="16"/>
      <c r="D78" s="17">
        <f>B78*C78/60*F4/24</f>
        <v>0</v>
      </c>
      <c r="E78" s="41">
        <f>B78*C78/60*G4/24</f>
        <v>0</v>
      </c>
      <c r="F78" s="13"/>
      <c r="G78" s="13"/>
      <c r="H78" s="13"/>
      <c r="I78" s="13"/>
      <c r="J78" s="13"/>
    </row>
    <row r="79" spans="1:10" s="12" customFormat="1" ht="15" customHeight="1" x14ac:dyDescent="0.2">
      <c r="A79" s="33" t="s">
        <v>61</v>
      </c>
      <c r="B79" s="31">
        <v>10</v>
      </c>
      <c r="C79" s="16"/>
      <c r="D79" s="17">
        <f>B79*C79/60*F4/24</f>
        <v>0</v>
      </c>
      <c r="E79" s="41">
        <f>B79*C79/60*G4/24</f>
        <v>0</v>
      </c>
      <c r="F79" s="13"/>
      <c r="G79" s="13"/>
      <c r="H79" s="13"/>
      <c r="I79" s="13"/>
      <c r="J79" s="13"/>
    </row>
    <row r="80" spans="1:10" s="12" customFormat="1" ht="15" customHeight="1" x14ac:dyDescent="0.2">
      <c r="A80" s="33" t="s">
        <v>62</v>
      </c>
      <c r="B80" s="31">
        <v>5</v>
      </c>
      <c r="C80" s="16"/>
      <c r="D80" s="17">
        <f>B80*C80/60*F4/24</f>
        <v>0</v>
      </c>
      <c r="E80" s="41">
        <f>B80*C80/60*G4/24</f>
        <v>0</v>
      </c>
      <c r="F80" s="13"/>
      <c r="G80" s="13"/>
      <c r="H80" s="13"/>
      <c r="I80" s="13"/>
      <c r="J80" s="13"/>
    </row>
    <row r="81" spans="1:10" s="12" customFormat="1" ht="15" customHeight="1" x14ac:dyDescent="0.2">
      <c r="A81" s="33" t="s">
        <v>63</v>
      </c>
      <c r="B81" s="31">
        <v>4</v>
      </c>
      <c r="C81" s="16"/>
      <c r="D81" s="17">
        <f>B81*C81/60*F4/24</f>
        <v>0</v>
      </c>
      <c r="E81" s="41">
        <f>B81*C81/60*G4/24</f>
        <v>0</v>
      </c>
      <c r="F81" s="13"/>
      <c r="G81" s="13"/>
      <c r="H81" s="13"/>
      <c r="I81" s="13"/>
      <c r="J81" s="13"/>
    </row>
    <row r="82" spans="1:10" s="12" customFormat="1" ht="15" customHeight="1" x14ac:dyDescent="0.2">
      <c r="A82" s="36"/>
      <c r="B82" s="31"/>
      <c r="C82" s="16"/>
      <c r="D82" s="17"/>
      <c r="E82" s="41"/>
      <c r="F82" s="13"/>
      <c r="G82" s="13"/>
      <c r="H82" s="13"/>
      <c r="I82" s="13"/>
      <c r="J82" s="13"/>
    </row>
    <row r="83" spans="1:10" s="12" customFormat="1" ht="15" customHeight="1" x14ac:dyDescent="0.2">
      <c r="A83" s="33" t="s">
        <v>64</v>
      </c>
      <c r="B83" s="31">
        <v>1.4</v>
      </c>
      <c r="C83" s="16">
        <f>1440-C85</f>
        <v>1440</v>
      </c>
      <c r="D83" s="17">
        <f>B83*C83/60*F4/24</f>
        <v>2617.9999999999995</v>
      </c>
      <c r="E83" s="41">
        <f>B83*C83/60*G4/24</f>
        <v>2303.8399999999997</v>
      </c>
      <c r="F83" s="13"/>
      <c r="G83" s="13"/>
      <c r="H83" s="13"/>
      <c r="I83" s="13"/>
      <c r="J83" s="13"/>
    </row>
    <row r="84" spans="1:10" s="12" customFormat="1" ht="15" customHeight="1" thickBot="1" x14ac:dyDescent="0.25">
      <c r="A84" s="36"/>
      <c r="B84" s="31"/>
      <c r="C84" s="19"/>
      <c r="D84" s="31"/>
      <c r="E84" s="16"/>
      <c r="F84" s="13"/>
      <c r="G84" s="13"/>
      <c r="H84" s="13"/>
      <c r="I84" s="13"/>
      <c r="J84" s="13"/>
    </row>
    <row r="85" spans="1:10" s="18" customFormat="1" ht="15" customHeight="1" thickTop="1" thickBot="1" x14ac:dyDescent="0.3">
      <c r="A85" s="21" t="s">
        <v>65</v>
      </c>
      <c r="B85" s="22"/>
      <c r="C85" s="45">
        <f>SUM(C9:C81)</f>
        <v>0</v>
      </c>
      <c r="D85" s="10" t="s">
        <v>5</v>
      </c>
      <c r="E85" s="10" t="s">
        <v>6</v>
      </c>
      <c r="F85" s="11"/>
      <c r="G85" s="11"/>
      <c r="H85" s="11"/>
      <c r="I85" s="11"/>
      <c r="J85" s="11"/>
    </row>
    <row r="86" spans="1:10" s="18" customFormat="1" ht="15" customHeight="1" thickTop="1" thickBot="1" x14ac:dyDescent="0.3">
      <c r="A86" s="21" t="s">
        <v>66</v>
      </c>
      <c r="B86" s="22"/>
      <c r="C86" s="23"/>
      <c r="D86" s="24"/>
      <c r="E86" s="24"/>
      <c r="F86" s="11"/>
      <c r="G86" s="11"/>
      <c r="H86" s="11"/>
      <c r="I86" s="11" t="s">
        <v>156</v>
      </c>
      <c r="J86" s="11">
        <v>1937</v>
      </c>
    </row>
    <row r="87" spans="1:10" s="18" customFormat="1" ht="15" customHeight="1" thickTop="1" thickBot="1" x14ac:dyDescent="0.3">
      <c r="A87" s="21" t="s">
        <v>67</v>
      </c>
      <c r="B87" s="22"/>
      <c r="C87" s="25"/>
      <c r="D87" s="24">
        <f>SUM(D9:D83)</f>
        <v>2617.9999999999995</v>
      </c>
      <c r="E87" s="24">
        <f>SUM(E9:E83)</f>
        <v>2303.8399999999997</v>
      </c>
      <c r="F87" s="11"/>
      <c r="G87" s="11"/>
      <c r="H87" s="11"/>
      <c r="I87" s="11"/>
      <c r="J87" s="11">
        <v>2100</v>
      </c>
    </row>
    <row r="88" spans="1:10" s="12" customFormat="1" ht="15" customHeight="1" thickTop="1" x14ac:dyDescent="0.2">
      <c r="E88" s="13"/>
    </row>
    <row r="89" spans="1:10" s="12" customFormat="1" ht="15" customHeight="1" thickBot="1" x14ac:dyDescent="0.25">
      <c r="E89" s="13"/>
    </row>
    <row r="90" spans="1:10" s="12" customFormat="1" ht="15" customHeight="1" thickTop="1" thickBot="1" x14ac:dyDescent="0.3">
      <c r="C90" s="10" t="s">
        <v>4</v>
      </c>
      <c r="D90" s="10" t="s">
        <v>5</v>
      </c>
      <c r="E90" s="10" t="s">
        <v>6</v>
      </c>
    </row>
    <row r="91" spans="1:10" s="12" customFormat="1" ht="15" customHeight="1" thickTop="1" thickBot="1" x14ac:dyDescent="0.3">
      <c r="C91" s="13"/>
      <c r="D91" s="14">
        <f>66+13.7*B4+5*C4-6.8*D4</f>
        <v>1870</v>
      </c>
      <c r="E91" s="14">
        <f>655+9.6*B4+1.8*C4-4.6*D4</f>
        <v>1645.6</v>
      </c>
    </row>
    <row r="92" spans="1:10" s="12" customFormat="1" ht="15" customHeight="1" thickTop="1" x14ac:dyDescent="0.2">
      <c r="E92" s="13"/>
    </row>
    <row r="93" spans="1:10" s="12" customFormat="1" ht="15" customHeight="1" x14ac:dyDescent="0.2">
      <c r="E93" s="13"/>
    </row>
    <row r="94" spans="1:10" s="12" customFormat="1" ht="15" customHeight="1" x14ac:dyDescent="0.2">
      <c r="E94" s="13"/>
    </row>
    <row r="95" spans="1:10" s="12" customFormat="1" ht="15" customHeight="1" x14ac:dyDescent="0.2">
      <c r="E95" s="13"/>
    </row>
    <row r="96" spans="1:10" s="12" customFormat="1" ht="15" customHeight="1" x14ac:dyDescent="0.2">
      <c r="E96" s="13"/>
    </row>
    <row r="97" spans="5:5" s="12" customFormat="1" ht="15" customHeight="1" x14ac:dyDescent="0.2">
      <c r="E97" s="13"/>
    </row>
    <row r="98" spans="5:5" s="12" customFormat="1" ht="15" customHeight="1" x14ac:dyDescent="0.2">
      <c r="E98" s="13"/>
    </row>
    <row r="99" spans="5:5" s="12" customFormat="1" ht="15" customHeight="1" x14ac:dyDescent="0.2">
      <c r="E99" s="13"/>
    </row>
    <row r="100" spans="5:5" s="12" customFormat="1" ht="15" customHeight="1" x14ac:dyDescent="0.2">
      <c r="E100" s="13"/>
    </row>
    <row r="101" spans="5:5" s="12" customFormat="1" ht="15" customHeight="1" x14ac:dyDescent="0.2">
      <c r="E101" s="13"/>
    </row>
    <row r="102" spans="5:5" s="12" customFormat="1" ht="15" customHeight="1" x14ac:dyDescent="0.2">
      <c r="E102" s="13"/>
    </row>
    <row r="103" spans="5:5" s="12" customFormat="1" ht="15" customHeight="1" x14ac:dyDescent="0.2">
      <c r="E103" s="13"/>
    </row>
    <row r="104" spans="5:5" s="12" customFormat="1" ht="15" customHeight="1" x14ac:dyDescent="0.2">
      <c r="E104" s="13"/>
    </row>
    <row r="105" spans="5:5" s="12" customFormat="1" ht="15" customHeight="1" x14ac:dyDescent="0.2">
      <c r="E105" s="13"/>
    </row>
    <row r="106" spans="5:5" s="12" customFormat="1" ht="15" customHeight="1" x14ac:dyDescent="0.2">
      <c r="E106" s="13"/>
    </row>
    <row r="107" spans="5:5" s="12" customFormat="1" ht="15" customHeight="1" x14ac:dyDescent="0.2">
      <c r="E107" s="13"/>
    </row>
    <row r="108" spans="5:5" s="12" customFormat="1" ht="15" customHeight="1" x14ac:dyDescent="0.2">
      <c r="E108" s="13"/>
    </row>
    <row r="109" spans="5:5" s="12" customFormat="1" ht="15" customHeight="1" x14ac:dyDescent="0.2">
      <c r="E109" s="13"/>
    </row>
    <row r="110" spans="5:5" s="12" customFormat="1" ht="15" customHeight="1" x14ac:dyDescent="0.2">
      <c r="E110" s="13"/>
    </row>
    <row r="111" spans="5:5" s="12" customFormat="1" ht="15" customHeight="1" x14ac:dyDescent="0.2">
      <c r="E111" s="13"/>
    </row>
    <row r="112" spans="5:5" s="12" customFormat="1" ht="15" customHeight="1" x14ac:dyDescent="0.2">
      <c r="E112" s="13"/>
    </row>
    <row r="113" spans="5:5" s="12" customFormat="1" ht="15" customHeight="1" x14ac:dyDescent="0.2">
      <c r="E113" s="13"/>
    </row>
    <row r="114" spans="5:5" s="12" customFormat="1" ht="15" customHeight="1" x14ac:dyDescent="0.2">
      <c r="E114" s="13"/>
    </row>
    <row r="115" spans="5:5" s="12" customFormat="1" ht="15" customHeight="1" x14ac:dyDescent="0.2">
      <c r="E115" s="13"/>
    </row>
    <row r="116" spans="5:5" s="12" customFormat="1" ht="15" customHeight="1" x14ac:dyDescent="0.2">
      <c r="E116" s="13"/>
    </row>
    <row r="117" spans="5:5" s="12" customFormat="1" ht="15" customHeight="1" x14ac:dyDescent="0.2">
      <c r="E117" s="13"/>
    </row>
    <row r="118" spans="5:5" s="12" customFormat="1" ht="15" customHeight="1" x14ac:dyDescent="0.2">
      <c r="E118" s="13"/>
    </row>
    <row r="119" spans="5:5" s="12" customFormat="1" ht="15" customHeight="1" x14ac:dyDescent="0.2">
      <c r="E119" s="13"/>
    </row>
    <row r="120" spans="5:5" s="12" customFormat="1" ht="15" customHeight="1" x14ac:dyDescent="0.2">
      <c r="E120" s="13"/>
    </row>
    <row r="121" spans="5:5" s="12" customFormat="1" ht="15" customHeight="1" x14ac:dyDescent="0.2">
      <c r="E121" s="13"/>
    </row>
    <row r="122" spans="5:5" s="12" customFormat="1" ht="15" customHeight="1" x14ac:dyDescent="0.2">
      <c r="E122" s="13"/>
    </row>
    <row r="123" spans="5:5" s="12" customFormat="1" ht="15" customHeight="1" x14ac:dyDescent="0.2">
      <c r="E123" s="13"/>
    </row>
    <row r="124" spans="5:5" s="12" customFormat="1" ht="15" customHeight="1" x14ac:dyDescent="0.2">
      <c r="E124" s="13"/>
    </row>
    <row r="125" spans="5:5" s="12" customFormat="1" ht="15" customHeight="1" x14ac:dyDescent="0.2">
      <c r="E125" s="13"/>
    </row>
    <row r="126" spans="5:5" s="12" customFormat="1" ht="15" customHeight="1" x14ac:dyDescent="0.2">
      <c r="E126" s="13"/>
    </row>
    <row r="127" spans="5:5" s="12" customFormat="1" ht="15" customHeight="1" x14ac:dyDescent="0.2">
      <c r="E127" s="13"/>
    </row>
    <row r="128" spans="5:5" s="12" customFormat="1" ht="15" customHeight="1" x14ac:dyDescent="0.2">
      <c r="E128" s="13"/>
    </row>
    <row r="129" spans="5:5" s="12" customFormat="1" ht="15" customHeight="1" x14ac:dyDescent="0.2">
      <c r="E129" s="13"/>
    </row>
    <row r="130" spans="5:5" s="12" customFormat="1" ht="15" customHeight="1" x14ac:dyDescent="0.2">
      <c r="E130" s="13"/>
    </row>
    <row r="131" spans="5:5" s="12" customFormat="1" ht="15" customHeight="1" x14ac:dyDescent="0.2">
      <c r="E131" s="13"/>
    </row>
    <row r="132" spans="5:5" s="12" customFormat="1" ht="15" customHeight="1" x14ac:dyDescent="0.2">
      <c r="E132" s="13"/>
    </row>
    <row r="133" spans="5:5" s="12" customFormat="1" ht="15" customHeight="1" x14ac:dyDescent="0.2">
      <c r="E133" s="13"/>
    </row>
    <row r="134" spans="5:5" s="12" customFormat="1" ht="15" customHeight="1" x14ac:dyDescent="0.2">
      <c r="E134" s="13"/>
    </row>
    <row r="135" spans="5:5" s="12" customFormat="1" ht="15" customHeight="1" x14ac:dyDescent="0.2">
      <c r="E135" s="13"/>
    </row>
    <row r="136" spans="5:5" s="12" customFormat="1" ht="15" customHeight="1" x14ac:dyDescent="0.2">
      <c r="E136" s="13"/>
    </row>
    <row r="137" spans="5:5" s="12" customFormat="1" ht="15" customHeight="1" x14ac:dyDescent="0.2">
      <c r="E137" s="13"/>
    </row>
    <row r="138" spans="5:5" s="12" customFormat="1" ht="15" customHeight="1" x14ac:dyDescent="0.2">
      <c r="E138" s="13"/>
    </row>
    <row r="139" spans="5:5" s="12" customFormat="1" ht="15" customHeight="1" x14ac:dyDescent="0.2">
      <c r="E139" s="13"/>
    </row>
    <row r="140" spans="5:5" s="12" customFormat="1" ht="15" customHeight="1" x14ac:dyDescent="0.2">
      <c r="E140" s="13"/>
    </row>
    <row r="141" spans="5:5" s="12" customFormat="1" ht="15" customHeight="1" x14ac:dyDescent="0.2">
      <c r="E141" s="13"/>
    </row>
    <row r="142" spans="5:5" s="12" customFormat="1" ht="15" customHeight="1" x14ac:dyDescent="0.2">
      <c r="E142" s="13"/>
    </row>
    <row r="143" spans="5:5" s="12" customFormat="1" ht="15" customHeight="1" x14ac:dyDescent="0.2">
      <c r="E143" s="13"/>
    </row>
    <row r="144" spans="5:5" s="12" customFormat="1" ht="15" customHeight="1" x14ac:dyDescent="0.2">
      <c r="E144" s="13"/>
    </row>
    <row r="145" spans="5:5" s="12" customFormat="1" ht="15" customHeight="1" x14ac:dyDescent="0.2">
      <c r="E145" s="13"/>
    </row>
    <row r="146" spans="5:5" s="12" customFormat="1" ht="15" customHeight="1" x14ac:dyDescent="0.2">
      <c r="E146" s="13"/>
    </row>
    <row r="147" spans="5:5" s="12" customFormat="1" ht="15" customHeight="1" x14ac:dyDescent="0.2">
      <c r="E147" s="13"/>
    </row>
    <row r="148" spans="5:5" s="12" customFormat="1" ht="15" customHeight="1" x14ac:dyDescent="0.2">
      <c r="E148" s="13"/>
    </row>
    <row r="149" spans="5:5" s="12" customFormat="1" ht="15" customHeight="1" x14ac:dyDescent="0.2">
      <c r="E149" s="13"/>
    </row>
    <row r="150" spans="5:5" s="12" customFormat="1" ht="15" customHeight="1" x14ac:dyDescent="0.2">
      <c r="E150" s="13"/>
    </row>
    <row r="151" spans="5:5" s="12" customFormat="1" ht="15" customHeight="1" x14ac:dyDescent="0.2">
      <c r="E151" s="13"/>
    </row>
    <row r="152" spans="5:5" s="12" customFormat="1" ht="15" customHeight="1" x14ac:dyDescent="0.2">
      <c r="E152" s="13"/>
    </row>
    <row r="153" spans="5:5" s="12" customFormat="1" ht="15" customHeight="1" x14ac:dyDescent="0.2">
      <c r="E153" s="13"/>
    </row>
    <row r="154" spans="5:5" s="12" customFormat="1" ht="15" customHeight="1" x14ac:dyDescent="0.2">
      <c r="E154" s="13"/>
    </row>
    <row r="155" spans="5:5" s="12" customFormat="1" ht="15" customHeight="1" x14ac:dyDescent="0.2">
      <c r="E155" s="13"/>
    </row>
    <row r="156" spans="5:5" s="12" customFormat="1" ht="15" customHeight="1" x14ac:dyDescent="0.2">
      <c r="E156" s="13"/>
    </row>
    <row r="157" spans="5:5" s="12" customFormat="1" ht="15" customHeight="1" x14ac:dyDescent="0.2">
      <c r="E157" s="13"/>
    </row>
    <row r="158" spans="5:5" s="12" customFormat="1" ht="15" customHeight="1" x14ac:dyDescent="0.2">
      <c r="E158" s="13"/>
    </row>
    <row r="159" spans="5:5" s="12" customFormat="1" ht="15" customHeight="1" x14ac:dyDescent="0.2">
      <c r="E159" s="13"/>
    </row>
    <row r="160" spans="5:5" s="12" customFormat="1" ht="15" customHeight="1" x14ac:dyDescent="0.2">
      <c r="E160" s="13"/>
    </row>
    <row r="161" spans="5:5" s="12" customFormat="1" ht="15" customHeight="1" x14ac:dyDescent="0.2">
      <c r="E161" s="13"/>
    </row>
    <row r="162" spans="5:5" s="12" customFormat="1" ht="15" customHeight="1" x14ac:dyDescent="0.2">
      <c r="E162" s="13"/>
    </row>
    <row r="163" spans="5:5" s="12" customFormat="1" ht="15" customHeight="1" x14ac:dyDescent="0.2">
      <c r="E163" s="13"/>
    </row>
    <row r="164" spans="5:5" s="12" customFormat="1" ht="15" customHeight="1" x14ac:dyDescent="0.2">
      <c r="E164" s="13"/>
    </row>
    <row r="165" spans="5:5" s="12" customFormat="1" ht="15" customHeight="1" x14ac:dyDescent="0.2">
      <c r="E165" s="13"/>
    </row>
    <row r="166" spans="5:5" s="12" customFormat="1" ht="15" customHeight="1" x14ac:dyDescent="0.2">
      <c r="E166" s="13"/>
    </row>
    <row r="167" spans="5:5" s="12" customFormat="1" ht="15" customHeight="1" x14ac:dyDescent="0.2">
      <c r="E167" s="13"/>
    </row>
    <row r="168" spans="5:5" s="12" customFormat="1" ht="15" customHeight="1" x14ac:dyDescent="0.2">
      <c r="E168" s="13"/>
    </row>
    <row r="169" spans="5:5" s="12" customFormat="1" ht="15" customHeight="1" x14ac:dyDescent="0.2">
      <c r="E169" s="13"/>
    </row>
    <row r="170" spans="5:5" s="12" customFormat="1" ht="15" customHeight="1" x14ac:dyDescent="0.2">
      <c r="E170" s="13"/>
    </row>
  </sheetData>
  <phoneticPr fontId="0" type="noConversion"/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opLeftCell="A4" zoomScale="75" workbookViewId="0">
      <selection activeCell="G7" sqref="G7:L23"/>
    </sheetView>
  </sheetViews>
  <sheetFormatPr baseColWidth="10" defaultColWidth="11.42578125" defaultRowHeight="15.95" customHeight="1" x14ac:dyDescent="0.2"/>
  <cols>
    <col min="1" max="1" width="18.28515625" style="47" customWidth="1"/>
    <col min="2" max="2" width="14.85546875" style="47" customWidth="1"/>
    <col min="3" max="3" width="11.140625" style="47" customWidth="1"/>
    <col min="4" max="4" width="9.28515625" style="47" customWidth="1"/>
    <col min="5" max="5" width="15.140625" style="47" customWidth="1"/>
    <col min="6" max="6" width="10.140625" style="47" customWidth="1"/>
    <col min="7" max="7" width="19.28515625" style="47" customWidth="1"/>
    <col min="8" max="8" width="8.42578125" style="47" customWidth="1"/>
    <col min="9" max="9" width="7.28515625" style="47" customWidth="1"/>
    <col min="10" max="10" width="7.140625" style="47" customWidth="1"/>
    <col min="11" max="11" width="7.42578125" style="47" customWidth="1"/>
    <col min="12" max="12" width="6.7109375" style="47" customWidth="1"/>
    <col min="13" max="16384" width="11.42578125" style="47"/>
  </cols>
  <sheetData>
    <row r="1" spans="1:12" ht="22.5" customHeight="1" x14ac:dyDescent="0.4">
      <c r="A1" s="46" t="s">
        <v>115</v>
      </c>
    </row>
    <row r="2" spans="1:12" ht="22.5" customHeight="1" x14ac:dyDescent="0.4">
      <c r="B2" s="46"/>
    </row>
    <row r="3" spans="1:12" ht="15.95" customHeight="1" x14ac:dyDescent="0.25">
      <c r="A3" s="114" t="s">
        <v>112</v>
      </c>
      <c r="B3" s="115">
        <v>1640</v>
      </c>
      <c r="C3" s="48"/>
      <c r="D3" s="48"/>
      <c r="E3" s="49"/>
      <c r="H3" s="50"/>
      <c r="I3" s="51"/>
    </row>
    <row r="4" spans="1:12" ht="15.95" customHeight="1" x14ac:dyDescent="0.2">
      <c r="A4" s="112"/>
      <c r="B4" s="113" t="s">
        <v>113</v>
      </c>
      <c r="C4" s="52" t="s">
        <v>114</v>
      </c>
      <c r="D4" s="52" t="s">
        <v>75</v>
      </c>
      <c r="H4" s="50"/>
    </row>
    <row r="5" spans="1:12" ht="15.95" customHeight="1" x14ac:dyDescent="0.2">
      <c r="A5" s="53" t="s">
        <v>87</v>
      </c>
      <c r="B5" s="54">
        <v>20</v>
      </c>
      <c r="C5" s="54">
        <v>20</v>
      </c>
      <c r="D5" s="55">
        <f>100-(B5+C5)</f>
        <v>60</v>
      </c>
    </row>
    <row r="6" spans="1:12" ht="15.95" customHeight="1" thickBot="1" x14ac:dyDescent="0.3">
      <c r="A6" s="56" t="s">
        <v>89</v>
      </c>
      <c r="B6" s="57">
        <f>B3*B5/4/100</f>
        <v>82</v>
      </c>
      <c r="C6" s="58">
        <f>B3*C5/9/100</f>
        <v>36.444444444444443</v>
      </c>
      <c r="D6" s="59">
        <f>B3*D5/4/100</f>
        <v>246</v>
      </c>
      <c r="G6" s="104" t="s">
        <v>154</v>
      </c>
      <c r="H6" s="130" t="e">
        <f>#REF!</f>
        <v>#REF!</v>
      </c>
    </row>
    <row r="7" spans="1:12" ht="15.95" customHeight="1" thickBot="1" x14ac:dyDescent="0.3">
      <c r="G7" s="61" t="s">
        <v>73</v>
      </c>
      <c r="H7" s="62" t="s">
        <v>91</v>
      </c>
      <c r="I7" s="62" t="s">
        <v>92</v>
      </c>
      <c r="J7" s="62" t="s">
        <v>93</v>
      </c>
      <c r="K7" s="62" t="s">
        <v>94</v>
      </c>
      <c r="L7" s="62" t="s">
        <v>75</v>
      </c>
    </row>
    <row r="8" spans="1:12" ht="15.95" customHeight="1" thickBot="1" x14ac:dyDescent="0.3">
      <c r="A8" s="60" t="s">
        <v>90</v>
      </c>
      <c r="B8" s="126"/>
      <c r="G8" s="63" t="s">
        <v>68</v>
      </c>
      <c r="H8" s="64">
        <v>5</v>
      </c>
      <c r="I8" s="65">
        <f>140*H8</f>
        <v>700</v>
      </c>
      <c r="J8" s="66">
        <f>3*H8</f>
        <v>15</v>
      </c>
      <c r="K8" s="66">
        <f>1*H8</f>
        <v>5</v>
      </c>
      <c r="L8" s="67">
        <f>30*H8</f>
        <v>150</v>
      </c>
    </row>
    <row r="9" spans="1:12" ht="15.95" customHeight="1" x14ac:dyDescent="0.25">
      <c r="A9" s="120" t="s">
        <v>71</v>
      </c>
      <c r="B9" s="124"/>
      <c r="C9" s="48"/>
      <c r="D9" s="48"/>
      <c r="E9" s="48"/>
      <c r="G9" s="71" t="s">
        <v>76</v>
      </c>
      <c r="H9" s="72">
        <v>3</v>
      </c>
      <c r="I9" s="73">
        <f>30*H9</f>
        <v>90</v>
      </c>
      <c r="J9" s="74">
        <f>2*H9</f>
        <v>6</v>
      </c>
      <c r="K9" s="74">
        <v>0</v>
      </c>
      <c r="L9" s="75">
        <f>5*H9</f>
        <v>15</v>
      </c>
    </row>
    <row r="10" spans="1:12" ht="15.95" customHeight="1" thickBot="1" x14ac:dyDescent="0.3">
      <c r="A10" s="121">
        <v>100</v>
      </c>
      <c r="B10" s="125"/>
      <c r="C10" s="122"/>
      <c r="D10" s="122"/>
      <c r="E10" s="123"/>
      <c r="G10" s="71" t="s">
        <v>77</v>
      </c>
      <c r="H10" s="72">
        <v>1</v>
      </c>
      <c r="I10" s="73">
        <f>10*H10</f>
        <v>10</v>
      </c>
      <c r="J10" s="74">
        <v>0</v>
      </c>
      <c r="K10" s="74">
        <v>0</v>
      </c>
      <c r="L10" s="75">
        <f>2.5*H10</f>
        <v>2.5</v>
      </c>
    </row>
    <row r="11" spans="1:12" ht="15.95" customHeight="1" thickBot="1" x14ac:dyDescent="0.3">
      <c r="G11" s="71" t="s">
        <v>78</v>
      </c>
      <c r="H11" s="72">
        <v>2</v>
      </c>
      <c r="I11" s="73">
        <f>65*H11</f>
        <v>130</v>
      </c>
      <c r="J11" s="74">
        <f>1*H11</f>
        <v>2</v>
      </c>
      <c r="K11" s="74">
        <v>0</v>
      </c>
      <c r="L11" s="75">
        <f>15*H11</f>
        <v>30</v>
      </c>
    </row>
    <row r="12" spans="1:12" ht="15.95" customHeight="1" thickBot="1" x14ac:dyDescent="0.3">
      <c r="A12" s="68" t="s">
        <v>95</v>
      </c>
      <c r="B12" s="69"/>
      <c r="C12" s="70"/>
      <c r="D12" s="70"/>
      <c r="E12" s="70"/>
      <c r="F12" s="70"/>
      <c r="G12" s="71" t="s">
        <v>79</v>
      </c>
      <c r="H12" s="72"/>
      <c r="I12" s="73">
        <f>120*H12</f>
        <v>0</v>
      </c>
      <c r="J12" s="74">
        <f>11*H12</f>
        <v>0</v>
      </c>
      <c r="K12" s="74">
        <f>8*H12</f>
        <v>0</v>
      </c>
      <c r="L12" s="75">
        <f>1*H12</f>
        <v>0</v>
      </c>
    </row>
    <row r="13" spans="1:12" ht="15.95" customHeight="1" thickBot="1" x14ac:dyDescent="0.3">
      <c r="A13" s="76"/>
      <c r="B13" s="62" t="s">
        <v>96</v>
      </c>
      <c r="C13" s="62" t="s">
        <v>74</v>
      </c>
      <c r="D13" s="62" t="s">
        <v>93</v>
      </c>
      <c r="E13" s="62" t="s">
        <v>94</v>
      </c>
      <c r="F13" s="77" t="s">
        <v>75</v>
      </c>
      <c r="G13" s="71" t="s">
        <v>80</v>
      </c>
      <c r="H13" s="72">
        <v>4</v>
      </c>
      <c r="I13" s="73">
        <f>65*H13</f>
        <v>260</v>
      </c>
      <c r="J13" s="74">
        <f>11*H13</f>
        <v>44</v>
      </c>
      <c r="K13" s="74">
        <f>2*H13</f>
        <v>8</v>
      </c>
      <c r="L13" s="75">
        <f>1*H13</f>
        <v>4</v>
      </c>
    </row>
    <row r="14" spans="1:12" ht="15.95" customHeight="1" x14ac:dyDescent="0.25">
      <c r="A14" s="78" t="s">
        <v>88</v>
      </c>
      <c r="B14" s="79"/>
      <c r="C14" s="66">
        <f>B3</f>
        <v>1640</v>
      </c>
      <c r="D14" s="66">
        <f>B6</f>
        <v>82</v>
      </c>
      <c r="E14" s="80">
        <f>C6</f>
        <v>36.444444444444443</v>
      </c>
      <c r="F14" s="67">
        <f>D6</f>
        <v>246</v>
      </c>
      <c r="G14" s="71" t="s">
        <v>81</v>
      </c>
      <c r="H14" s="72"/>
      <c r="I14" s="73">
        <f>110*H14</f>
        <v>0</v>
      </c>
      <c r="J14" s="74">
        <f>5*H14</f>
        <v>0</v>
      </c>
      <c r="K14" s="74">
        <f>6*H14</f>
        <v>0</v>
      </c>
      <c r="L14" s="75">
        <f>9*H14</f>
        <v>0</v>
      </c>
    </row>
    <row r="15" spans="1:12" ht="15.95" customHeight="1" x14ac:dyDescent="0.25">
      <c r="A15" s="81" t="s">
        <v>97</v>
      </c>
      <c r="B15" s="82"/>
      <c r="C15" s="74">
        <f>I22</f>
        <v>1580</v>
      </c>
      <c r="D15" s="74">
        <f>J22</f>
        <v>88</v>
      </c>
      <c r="E15" s="83">
        <f>K22</f>
        <v>33</v>
      </c>
      <c r="F15" s="75">
        <f>L22</f>
        <v>231.5</v>
      </c>
      <c r="G15" s="71" t="s">
        <v>82</v>
      </c>
      <c r="H15" s="72"/>
      <c r="I15" s="73">
        <f>85*H15</f>
        <v>0</v>
      </c>
      <c r="J15" s="74">
        <f>5*H15</f>
        <v>0</v>
      </c>
      <c r="K15" s="74">
        <f>3*H15</f>
        <v>0</v>
      </c>
      <c r="L15" s="75">
        <f>9*H15</f>
        <v>0</v>
      </c>
    </row>
    <row r="16" spans="1:12" ht="15.95" customHeight="1" x14ac:dyDescent="0.25">
      <c r="A16" s="81" t="s">
        <v>98</v>
      </c>
      <c r="B16" s="82">
        <v>0</v>
      </c>
      <c r="C16" s="74">
        <f>B16*168</f>
        <v>0</v>
      </c>
      <c r="D16" s="74">
        <f>B16*7</f>
        <v>0</v>
      </c>
      <c r="E16" s="74">
        <f>B16*0.6</f>
        <v>0</v>
      </c>
      <c r="F16" s="75">
        <f>B16*34</f>
        <v>0</v>
      </c>
      <c r="G16" s="71" t="s">
        <v>83</v>
      </c>
      <c r="H16" s="72">
        <v>3</v>
      </c>
      <c r="I16" s="73">
        <f>70*H16</f>
        <v>210</v>
      </c>
      <c r="J16" s="74">
        <f>7*H16</f>
        <v>21</v>
      </c>
      <c r="K16" s="74">
        <v>0</v>
      </c>
      <c r="L16" s="75">
        <f>10*H16</f>
        <v>30</v>
      </c>
    </row>
    <row r="17" spans="1:12" ht="15.95" customHeight="1" x14ac:dyDescent="0.25">
      <c r="A17" s="81" t="s">
        <v>99</v>
      </c>
      <c r="B17" s="82">
        <v>0</v>
      </c>
      <c r="C17" s="74">
        <f>B17*90</f>
        <v>0</v>
      </c>
      <c r="D17" s="74">
        <f>B17*8</f>
        <v>0</v>
      </c>
      <c r="E17" s="74">
        <f>B17*0.5</f>
        <v>0</v>
      </c>
      <c r="F17" s="75">
        <f>B17*13</f>
        <v>0</v>
      </c>
      <c r="G17" s="71" t="s">
        <v>111</v>
      </c>
      <c r="H17" s="72">
        <v>1</v>
      </c>
      <c r="I17" s="73">
        <f>180*H17</f>
        <v>180</v>
      </c>
      <c r="J17" s="74">
        <v>0</v>
      </c>
      <c r="K17" s="74">
        <f>20*H17</f>
        <v>20</v>
      </c>
      <c r="L17" s="75">
        <v>0</v>
      </c>
    </row>
    <row r="18" spans="1:12" ht="15.95" customHeight="1" x14ac:dyDescent="0.25">
      <c r="A18" s="81" t="s">
        <v>100</v>
      </c>
      <c r="B18" s="82">
        <v>0</v>
      </c>
      <c r="C18" s="74">
        <f>B18*87</f>
        <v>0</v>
      </c>
      <c r="D18" s="74">
        <f>B18*17</f>
        <v>0</v>
      </c>
      <c r="E18" s="74">
        <f>B18*1</f>
        <v>0</v>
      </c>
      <c r="F18" s="75">
        <f>B18*2</f>
        <v>0</v>
      </c>
      <c r="G18" s="71" t="s">
        <v>84</v>
      </c>
      <c r="H18" s="72"/>
      <c r="I18" s="73">
        <f>175*H18</f>
        <v>0</v>
      </c>
      <c r="J18" s="74">
        <f>5*H18</f>
        <v>0</v>
      </c>
      <c r="K18" s="74">
        <f>15*H18</f>
        <v>0</v>
      </c>
      <c r="L18" s="75">
        <f>5*H18</f>
        <v>0</v>
      </c>
    </row>
    <row r="19" spans="1:12" ht="15.95" customHeight="1" thickBot="1" x14ac:dyDescent="0.3">
      <c r="A19" s="81" t="s">
        <v>109</v>
      </c>
      <c r="B19" s="82">
        <v>0</v>
      </c>
      <c r="C19" s="74">
        <f>B19*116</f>
        <v>0</v>
      </c>
      <c r="D19" s="74">
        <f>B19*22</f>
        <v>0</v>
      </c>
      <c r="E19" s="74">
        <f>B19*1.5</f>
        <v>0</v>
      </c>
      <c r="F19" s="75">
        <f>B19*3</f>
        <v>0</v>
      </c>
      <c r="G19" s="71" t="s">
        <v>85</v>
      </c>
      <c r="H19" s="72"/>
      <c r="I19" s="73">
        <f>20*H19</f>
        <v>0</v>
      </c>
      <c r="J19" s="74">
        <v>0</v>
      </c>
      <c r="K19" s="74">
        <v>0</v>
      </c>
      <c r="L19" s="75">
        <f>5*H19</f>
        <v>0</v>
      </c>
    </row>
    <row r="20" spans="1:12" ht="15.95" customHeight="1" x14ac:dyDescent="0.25">
      <c r="A20" s="84" t="s">
        <v>101</v>
      </c>
      <c r="B20" s="85"/>
      <c r="C20" s="86">
        <f>SUM(C15:C19)</f>
        <v>1580</v>
      </c>
      <c r="D20" s="86">
        <f t="shared" ref="D20:F20" si="0">SUM(D15:D19)</f>
        <v>88</v>
      </c>
      <c r="E20" s="86">
        <f t="shared" si="0"/>
        <v>33</v>
      </c>
      <c r="F20" s="86">
        <f t="shared" si="0"/>
        <v>231.5</v>
      </c>
      <c r="G20" s="71" t="s">
        <v>110</v>
      </c>
      <c r="H20" s="72"/>
      <c r="I20" s="73">
        <f>180*H20</f>
        <v>0</v>
      </c>
      <c r="J20" s="74">
        <f>2*H20</f>
        <v>0</v>
      </c>
      <c r="K20" s="74">
        <f>10*H20</f>
        <v>0</v>
      </c>
      <c r="L20" s="75">
        <f>20*H20</f>
        <v>0</v>
      </c>
    </row>
    <row r="21" spans="1:12" ht="15.95" customHeight="1" thickBot="1" x14ac:dyDescent="0.3">
      <c r="A21" s="87" t="s">
        <v>103</v>
      </c>
      <c r="B21" s="88"/>
      <c r="C21" s="83">
        <f>C20/C14*100</f>
        <v>96.341463414634148</v>
      </c>
      <c r="D21" s="83">
        <f>D20/D14*100</f>
        <v>107.31707317073172</v>
      </c>
      <c r="E21" s="83">
        <f>E20/E14*100</f>
        <v>90.548780487804876</v>
      </c>
      <c r="F21" s="89">
        <f>F20/F14*100</f>
        <v>94.105691056910572</v>
      </c>
      <c r="G21" s="71" t="s">
        <v>86</v>
      </c>
      <c r="H21" s="96"/>
      <c r="I21" s="97">
        <f>220*H21</f>
        <v>0</v>
      </c>
      <c r="J21" s="98">
        <v>0</v>
      </c>
      <c r="K21" s="98">
        <v>0</v>
      </c>
      <c r="L21" s="99">
        <v>0</v>
      </c>
    </row>
    <row r="22" spans="1:12" ht="15.95" customHeight="1" thickBot="1" x14ac:dyDescent="0.3">
      <c r="A22" s="90" t="s">
        <v>105</v>
      </c>
      <c r="B22" s="91"/>
      <c r="C22" s="92"/>
      <c r="D22" s="92">
        <f>D20*4/C20*100</f>
        <v>22.278481012658226</v>
      </c>
      <c r="E22" s="92">
        <f>E20*9/C20*100</f>
        <v>18.797468354430379</v>
      </c>
      <c r="F22" s="92">
        <f>F20*4/C20*100</f>
        <v>58.607594936708864</v>
      </c>
      <c r="G22" s="100" t="s">
        <v>102</v>
      </c>
      <c r="H22" s="101"/>
      <c r="I22" s="102">
        <f>I8+I9+I10+I11+I12+I13+I14+I15+I16+I17+I18+I19+I20+I21</f>
        <v>1580</v>
      </c>
      <c r="J22" s="103">
        <f>SUM(J8:J21)</f>
        <v>88</v>
      </c>
      <c r="K22" s="103">
        <f>SUM(K8:K21)</f>
        <v>33</v>
      </c>
      <c r="L22" s="103">
        <f>SUM(L8:L21)</f>
        <v>231.5</v>
      </c>
    </row>
    <row r="23" spans="1:12" ht="15.95" customHeight="1" thickBot="1" x14ac:dyDescent="0.3">
      <c r="A23" s="93" t="s">
        <v>106</v>
      </c>
      <c r="B23" s="94"/>
      <c r="C23" s="95"/>
      <c r="D23" s="95">
        <f>D20/A10</f>
        <v>0.88</v>
      </c>
      <c r="E23" s="95">
        <f>E20/A10</f>
        <v>0.33</v>
      </c>
      <c r="F23" s="95">
        <f>F20/A10</f>
        <v>2.3149999999999999</v>
      </c>
      <c r="G23" s="105" t="s">
        <v>104</v>
      </c>
      <c r="H23" s="106"/>
      <c r="I23" s="107"/>
      <c r="J23" s="108">
        <f>J22*4/I22*100</f>
        <v>22.278481012658226</v>
      </c>
      <c r="K23" s="108">
        <f>K22*9/I22*100</f>
        <v>18.797468354430379</v>
      </c>
      <c r="L23" s="108">
        <f>L22*4/I22*100</f>
        <v>58.607594936708864</v>
      </c>
    </row>
    <row r="25" spans="1:12" s="104" customFormat="1" ht="15.95" customHeight="1" x14ac:dyDescent="0.25">
      <c r="A25" s="47"/>
      <c r="B25" s="47"/>
      <c r="C25" s="47"/>
      <c r="D25" s="47"/>
      <c r="E25" s="47"/>
      <c r="F25" s="47"/>
    </row>
    <row r="26" spans="1:12" s="104" customFormat="1" ht="15.95" customHeight="1" x14ac:dyDescent="0.25">
      <c r="A26" s="47"/>
      <c r="B26" s="47"/>
      <c r="C26" s="47"/>
      <c r="D26" s="47"/>
      <c r="E26" s="47"/>
      <c r="F26" s="47"/>
    </row>
    <row r="27" spans="1:12" s="104" customFormat="1" ht="15.95" customHeight="1" x14ac:dyDescent="0.25">
      <c r="A27" s="47"/>
      <c r="B27" s="47"/>
      <c r="C27" s="47"/>
      <c r="D27" s="47"/>
      <c r="E27" s="47"/>
      <c r="F27" s="47"/>
      <c r="G27" s="109"/>
      <c r="H27" s="109"/>
      <c r="I27" s="110"/>
      <c r="J27" s="111"/>
      <c r="K27" s="111"/>
      <c r="L27" s="111"/>
    </row>
    <row r="28" spans="1:12" s="104" customFormat="1" ht="15.95" customHeight="1" x14ac:dyDescent="0.25">
      <c r="A28" s="47"/>
      <c r="B28" s="47"/>
      <c r="C28" s="47"/>
      <c r="D28" s="47"/>
      <c r="E28" s="47"/>
      <c r="F28" s="47"/>
      <c r="G28" s="109"/>
      <c r="H28" s="109"/>
      <c r="I28" s="110"/>
      <c r="J28" s="111"/>
      <c r="K28" s="111"/>
      <c r="L28" s="111"/>
    </row>
  </sheetData>
  <phoneticPr fontId="0" type="noConversion"/>
  <pageMargins left="0.75" right="0.75" top="1" bottom="1" header="0.511811024" footer="0.511811024"/>
  <pageSetup paperSize="9" orientation="portrait" horizontalDpi="300" verticalDpi="300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Antropometria  (3)</vt:lpstr>
      <vt:lpstr>Calorimetría</vt:lpstr>
      <vt:lpstr>Requerimiento</vt:lpstr>
    </vt:vector>
  </TitlesOfParts>
  <Company>Hogar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Pablo</cp:lastModifiedBy>
  <cp:lastPrinted>2006-05-14T16:40:17Z</cp:lastPrinted>
  <dcterms:created xsi:type="dcterms:W3CDTF">2002-05-11T07:10:06Z</dcterms:created>
  <dcterms:modified xsi:type="dcterms:W3CDTF">2014-12-12T17:39:29Z</dcterms:modified>
</cp:coreProperties>
</file>